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45" windowHeight="4635" tabRatio="602" activeTab="0"/>
  </bookViews>
  <sheets>
    <sheet name="Capa" sheetId="1" r:id="rId1"/>
    <sheet name="Parâmetros" sheetId="2" r:id="rId2"/>
    <sheet name="Plano" sheetId="3" r:id="rId3"/>
    <sheet name="Dívida" sheetId="4" r:id="rId4"/>
    <sheet name="Projeções" sheetId="5" r:id="rId5"/>
    <sheet name="Metas" sheetId="6" r:id="rId6"/>
    <sheet name="MetasRPPS" sheetId="7" r:id="rId7"/>
    <sheet name="Metas PREF " sheetId="8" r:id="rId8"/>
    <sheet name=" Avaliação" sheetId="9" r:id="rId9"/>
    <sheet name="Comparação" sheetId="10" r:id="rId10"/>
    <sheet name=" Patrimônio" sheetId="11" r:id="rId11"/>
    <sheet name=" Alienação" sheetId="12" r:id="rId12"/>
    <sheet name="RPPS-Financeiro" sheetId="13" r:id="rId13"/>
    <sheet name="RPPS-Atuarial" sheetId="14" r:id="rId14"/>
    <sheet name="Renúncia" sheetId="15" r:id="rId15"/>
    <sheet name="DOCC" sheetId="16" r:id="rId16"/>
    <sheet name="DOCC(alternativa)" sheetId="17" r:id="rId17"/>
    <sheet name="Anexo Riscos" sheetId="18" r:id="rId18"/>
    <sheet name="Anexo III - Metas e Prioridades" sheetId="19" r:id="rId19"/>
    <sheet name="Anexo IV - Consdo Patrimônio" sheetId="20" r:id="rId20"/>
  </sheets>
  <definedNames>
    <definedName name="_xlnm.Print_Area" localSheetId="3">'Dívida'!$A$1:$G$40</definedName>
    <definedName name="_xlnm.Print_Area" localSheetId="5">'Metas'!$A$1:$K$90</definedName>
    <definedName name="_xlnm.Print_Area" localSheetId="1">'Parâmetros'!$A$7:$L$64</definedName>
    <definedName name="_xlnm.Print_Area" localSheetId="2">'Plano'!$A$1:$F$71</definedName>
    <definedName name="_xlnm.Print_Area" localSheetId="4">'Projeções'!$A$1:$J$90</definedName>
    <definedName name="_xlnm.Print_Area" localSheetId="13">'RPPS-Atuarial'!$A$1:$G$87</definedName>
    <definedName name="_xlnm.Print_Area" localSheetId="12">'RPPS-Financeiro'!$A$1:$G$93</definedName>
    <definedName name="Z_16B3F100_CCE8_11D8_BD62_000C6E3CD3F1_.wvu.Cols" localSheetId="1" hidden="1">'Parâmetros'!$C:$C,'Parâmetros'!#REF!</definedName>
    <definedName name="Z_16B3F100_CCE8_11D8_BD62_000C6E3CD3F1_.wvu.Rows" localSheetId="3" hidden="1">'Dívida'!$20:$20,'Dívida'!#REF!</definedName>
    <definedName name="Z_16B3F100_CCE8_11D8_BD62_000C6E3CD3F1_.wvu.Rows" localSheetId="1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<sst xmlns="http://schemas.openxmlformats.org/spreadsheetml/2006/main" count="762" uniqueCount="424">
  <si>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</si>
  <si>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</si>
  <si>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</si>
  <si>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</si>
  <si>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</si>
  <si>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</si>
  <si>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</si>
  <si>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</si>
  <si>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</si>
  <si>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</si>
  <si>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</si>
  <si>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</si>
  <si>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</si>
  <si>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</si>
  <si>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</si>
  <si>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</si>
  <si>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</si>
  <si>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</si>
  <si>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</si>
  <si>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</si>
  <si>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</si>
  <si>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</si>
  <si>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</si>
  <si>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</si>
  <si>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</si>
  <si>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</si>
  <si>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</si>
  <si>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</si>
  <si>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</si>
  <si>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</si>
  <si>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</si>
  <si>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</si>
  <si>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</si>
  <si>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</si>
  <si>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</si>
  <si>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</si>
  <si>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</si>
  <si>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</si>
  <si>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</si>
  <si>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</si>
  <si>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</si>
  <si>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</si>
  <si>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</si>
  <si>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</si>
  <si>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</si>
  <si>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</si>
  <si>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</si>
  <si>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</si>
  <si>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</si>
  <si>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</si>
  <si>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</si>
  <si>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</si>
  <si>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</si>
  <si>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</si>
  <si>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</si>
  <si>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</si>
  <si>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</si>
  <si>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</si>
  <si>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</si>
  <si>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</si>
  <si>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</si>
  <si>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</si>
  <si>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</si>
  <si>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</si>
  <si>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</si>
  <si>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</si>
  <si>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</si>
  <si>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</si>
  <si>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</si>
  <si>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</si>
  <si>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</si>
  <si>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</si>
  <si>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</si>
  <si>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</si>
  <si>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</si>
  <si>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</si>
  <si>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</si>
  <si>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</si>
  <si>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</si>
  <si>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</si>
  <si>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</si>
  <si>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</si>
  <si>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</si>
  <si>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</si>
  <si>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</si>
  <si>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</si>
  <si>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</si>
  <si>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</si>
  <si>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</si>
  <si>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</si>
  <si>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</si>
  <si>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</si>
  <si>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</si>
  <si>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</si>
  <si>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</si>
  <si>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</si>
  <si>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</si>
  <si>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</si>
  <si>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</si>
  <si>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</si>
  <si>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</si>
  <si>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</si>
  <si>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</si>
  <si>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</si>
  <si>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</si>
  <si>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</si>
  <si>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</si>
  <si>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</si>
  <si>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</si>
  <si>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</si>
  <si>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</si>
  <si>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</si>
  <si>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</si>
  <si>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</si>
  <si>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</si>
  <si>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</si>
  <si>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</si>
  <si>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</si>
  <si>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</si>
  <si>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</si>
  <si>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</si>
  <si>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</si>
  <si>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</si>
  <si>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</si>
  <si>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</si>
  <si>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</si>
  <si>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</si>
  <si>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</si>
  <si>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</si>
  <si>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</si>
  <si>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</si>
  <si>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</si>
  <si>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</si>
  <si>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</si>
  <si>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</si>
  <si>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</si>
  <si>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</si>
  <si>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</si>
  <si>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</si>
  <si>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</si>
  <si>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</si>
  <si>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</si>
  <si>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</si>
  <si>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</si>
  <si>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</si>
  <si>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</si>
  <si>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RECEITAS PREVIDENCIÁRIAS</t>
  </si>
  <si>
    <t xml:space="preserve">      Pessoal Civil</t>
  </si>
  <si>
    <t>DESPESAS PREVIDENCIÁRIAS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</si>
  <si>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</si>
  <si>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</si>
  <si>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</si>
  <si>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</si>
  <si>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</si>
  <si>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</si>
  <si>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</si>
  <si>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</si>
  <si>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</si>
  <si>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</si>
  <si>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</si>
  <si>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</si>
  <si>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</si>
  <si>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</si>
  <si>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</si>
  <si>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</si>
  <si>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</si>
  <si>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</si>
  <si>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</si>
  <si>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</si>
  <si>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</si>
  <si>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</si>
  <si>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</si>
  <si>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</si>
  <si>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</si>
  <si>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</si>
  <si>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ANEXO I - METAS FISCAIS</t>
  </si>
  <si>
    <t xml:space="preserve">  Receitas Primárias (I)</t>
  </si>
  <si>
    <t>Despesas Primárias (II)</t>
  </si>
  <si>
    <t>Fonte: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</si>
  <si>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</si>
  <si>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</si>
  <si>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</si>
  <si>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</si>
  <si>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</si>
  <si>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</si>
  <si>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</si>
  <si>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</si>
  <si>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DA ESTIMATIVA E COMPENSAÇÃO DA RENÚNCIA DE RECEITA</t>
  </si>
  <si>
    <t>Rendimentos de Aplicações Financeiras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</si>
  <si>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</si>
  <si>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</si>
  <si>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</si>
  <si>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</si>
  <si>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</si>
  <si>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</si>
  <si>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</si>
  <si>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</si>
  <si>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</si>
  <si>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</si>
  <si>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</si>
  <si>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</si>
  <si>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</si>
  <si>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</si>
  <si>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</si>
  <si>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</si>
  <si>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</si>
  <si>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</si>
  <si>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</si>
  <si>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>PREVISÕES DA LEI DE ORÇAMENTO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</si>
  <si>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</si>
  <si>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</si>
  <si>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</si>
  <si>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</si>
  <si>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 xml:space="preserve">DEMONSTRATIVO DA MARGEM DE EXPANSÃO DAS DESPESAS OBRIGATÓRIAS DE CARÁTER CONTINUADO  </t>
  </si>
  <si>
    <t>Outras Inversões Financeiras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</si>
  <si>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</si>
  <si>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</si>
  <si>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</si>
  <si>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</si>
  <si>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Execício</t>
  </si>
  <si>
    <t>Exercício</t>
  </si>
  <si>
    <t>TABELA 02 - Demonstraitvo da Evolução da Dívida e Resultado Nominal</t>
  </si>
  <si>
    <t>(-)  Transferências ao FUNDEB</t>
  </si>
  <si>
    <t>PIB / RS (em R$ milhões)</t>
  </si>
  <si>
    <t>Receitas de Contribuições -   P M</t>
  </si>
  <si>
    <t>1.2.0.0.0.0.0.0.0.0.0</t>
  </si>
  <si>
    <t>Rendimentos de Aplicações - PM</t>
  </si>
  <si>
    <t>Outras Receitas Correntes -  P M</t>
  </si>
  <si>
    <t>7.2.1.0.00.00.00.00</t>
  </si>
  <si>
    <t>Pessoal  Próprio</t>
  </si>
  <si>
    <t>Outras Despesas Correntes</t>
  </si>
  <si>
    <t>Invetimentos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</si>
  <si>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</si>
  <si>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</si>
  <si>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</si>
  <si>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</si>
  <si>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</si>
  <si>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</si>
  <si>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>DEMONSTRATIVO DAS METAS ANUAIS - CONSOLIDADO</t>
  </si>
  <si>
    <t>DEMONSTRATIVO DAS METAS DE RESULTADO PRIMÁRIO DO PREGIME PRÓPRIO DE PREVIDÊNCIA SOCIAL</t>
  </si>
  <si>
    <t>DEMONSTRATIVO DAS METAS DE RESULTADO PRIMÁRIO (EXCLUÍDAS A RECEITAS E DESPESAS DO RPPS)</t>
  </si>
  <si>
    <t xml:space="preserve">  Receita Total </t>
  </si>
  <si>
    <t xml:space="preserve"> Despesa Total </t>
  </si>
  <si>
    <t>Despesas Primárias  (II)</t>
  </si>
  <si>
    <t xml:space="preserve">Operações de Crédito / Pagamentos </t>
  </si>
  <si>
    <t>ANEXO DE  METAS FISCAIS</t>
  </si>
  <si>
    <t xml:space="preserve">   RECEITAS CORRENTES</t>
  </si>
  <si>
    <t xml:space="preserve">      Receita de Contribuições</t>
  </si>
  <si>
    <t xml:space="preserve">         Pessoal Civil</t>
  </si>
  <si>
    <t xml:space="preserve">         Pessoal Militar</t>
  </si>
  <si>
    <t xml:space="preserve">      Receita Patrimonial</t>
  </si>
  <si>
    <t xml:space="preserve">      Receita de Serviços </t>
  </si>
  <si>
    <t xml:space="preserve">      Outras Receitas Correntes</t>
  </si>
  <si>
    <t xml:space="preserve">         Compensação Previdenciária do RGPS para o RPPS</t>
  </si>
  <si>
    <t xml:space="preserve">         Outras Receitas Correntes</t>
  </si>
  <si>
    <t xml:space="preserve">   RECEITAS DE CAPITAL</t>
  </si>
  <si>
    <t xml:space="preserve">      Amortização de Empréstimos</t>
  </si>
  <si>
    <t xml:space="preserve">      Outras Receitas de Capital</t>
  </si>
  <si>
    <t xml:space="preserve">   ADMINISTRAÇÃO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</si>
  <si>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</si>
  <si>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</si>
  <si>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</si>
  <si>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</si>
  <si>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</si>
  <si>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</si>
  <si>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>PROJEÇÃO ATUARIAL DO RPPS</t>
  </si>
  <si>
    <t>AMF – Tabela 7 (LRF, art.4º, § 2º, inciso IV, alínea “a”)</t>
  </si>
  <si>
    <t>RESULTADO PREVIDENCIÁRIO</t>
  </si>
  <si>
    <t>DO EXERCÍCIO</t>
  </si>
  <si>
    <t>(c) = (a-b)</t>
  </si>
  <si>
    <t>(d) = (d Exercício</t>
  </si>
  <si>
    <t>anterior) + (c)</t>
  </si>
  <si>
    <t xml:space="preserve"> (1) Dívida Consolidada </t>
  </si>
  <si>
    <t>(2)  Disponibilidades Financeiras (Líquidas)</t>
  </si>
  <si>
    <t>(3) Dívida Consolidada Líquida</t>
  </si>
  <si>
    <t>(4) Passivos Reconhecidos</t>
  </si>
  <si>
    <t>(5) Dívida Fiscal Líquida</t>
  </si>
  <si>
    <t>(6) Resultado Nominal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</si>
  <si>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</si>
  <si>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</si>
  <si>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</si>
  <si>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</si>
  <si>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</si>
  <si>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</si>
  <si>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</si>
  <si>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</si>
  <si>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Receita Prevista (já deduzido o FUNDEB)</t>
  </si>
  <si>
    <t>AMF - Demonstrativo I (LRF, art. 4º, § 1º)</t>
  </si>
  <si>
    <t>AMF - Demonstativo I (LRF, art. 4º, § 1º)</t>
  </si>
  <si>
    <t>AMF - Demonstrativo II (LRF, art. 4º, §2º, inciso I)</t>
  </si>
  <si>
    <t>AMF – Demonstrativo III (LRF, art.4º, §2º, inciso II)</t>
  </si>
  <si>
    <t>AMF - Demonstrativo IV (LRF, art.4º, §2º, inciso III)</t>
  </si>
  <si>
    <t>AMF - Demonstrativo V (LRF, art.4º, §2º, inciso III)</t>
  </si>
  <si>
    <t>AMF - Demonstrativo VIII (LRF, art. 4°, § 2°, inciso V)</t>
  </si>
  <si>
    <t>AMF - Demonstrativo IX (LRF, art. 4°, § 2°, inciso V)</t>
  </si>
  <si>
    <t>9.0.0.0.00.00.00.00</t>
  </si>
  <si>
    <t>Cronograma Anual de Operações Realizadas e do Serviço da Dívida</t>
  </si>
  <si>
    <t>ANEXO DE RISCOS FISCAIS</t>
  </si>
  <si>
    <r>
      <t>ARF (LRF, art 4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, § 3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</si>
  <si>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</si>
  <si>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</si>
  <si>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</si>
  <si>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</si>
  <si>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</si>
  <si>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</si>
  <si>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</si>
  <si>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</si>
  <si>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</si>
  <si>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</si>
  <si>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</si>
  <si>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</si>
  <si>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</si>
  <si>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RECEITAS E DESPESAS PREVIDENCIÁRIAS DO REGIME PRÓPRIO DE PREVIDÊNCIA DOS SERVIDORES</t>
  </si>
  <si>
    <t>AMF - Demonstrativo VI (LRF, art.4º, §2º, inciso IV, alínea "a")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</si>
  <si>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</si>
  <si>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</si>
  <si>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</si>
  <si>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</si>
  <si>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</si>
  <si>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</si>
  <si>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</si>
  <si>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</si>
  <si>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</si>
  <si>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</si>
  <si>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</si>
  <si>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</si>
  <si>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</si>
  <si>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</si>
  <si>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</si>
  <si>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 xml:space="preserve">   PREVIDÊNCIA</t>
  </si>
  <si>
    <t>DESPESAS PREVIDENCIÁRIAS - RPPS (INTRA-ORÇAMENTÁRIAS) (V)</t>
  </si>
  <si>
    <t>TOTAL DAS DESPESAS PREVIDENCIÁRIAS (VI) = (IV + V)</t>
  </si>
  <si>
    <t>RESULTADO PREVIDENCIÁRIO (VII) = (III – VI)</t>
  </si>
  <si>
    <t>APORTES DE RECURSOS PARA O REGIME PRÓPRIO 
DE PREVIDÊNCIA DO SERVIDOR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</si>
  <si>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</si>
  <si>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</si>
  <si>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</si>
  <si>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</si>
  <si>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</si>
  <si>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</si>
  <si>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</si>
  <si>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</si>
  <si>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</si>
  <si>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</si>
  <si>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</si>
  <si>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</si>
  <si>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</si>
  <si>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</si>
  <si>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</si>
  <si>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</si>
  <si>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</si>
  <si>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 III -  METAS E PRIORIDADES</t>
  </si>
  <si>
    <t xml:space="preserve">PROGRAMA: </t>
  </si>
  <si>
    <t xml:space="preserve">OBJETIVO: 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</si>
  <si>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</si>
  <si>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</si>
  <si>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</si>
  <si>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</si>
  <si>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</si>
  <si>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</si>
  <si>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</si>
  <si>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</si>
  <si>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 xml:space="preserve">MUNICÍPIO DE: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</si>
  <si>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</si>
  <si>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</si>
  <si>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</si>
  <si>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</si>
  <si>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</si>
  <si>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</si>
  <si>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</si>
  <si>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</si>
  <si>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</si>
  <si>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</si>
  <si>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Receita de Contribuições  -  R P P S  </t>
  </si>
  <si>
    <t xml:space="preserve">Rendimentos de Aplicações - RPPS </t>
  </si>
  <si>
    <t xml:space="preserve">Outras Receitas Correntes - R P P S </t>
  </si>
  <si>
    <t xml:space="preserve">Receitas Intra Orçamentárias - RPPS </t>
  </si>
  <si>
    <t xml:space="preserve">Pessoal  do  R P P S  </t>
  </si>
  <si>
    <t xml:space="preserve">Juros e encargos da Dívida RPPS  </t>
  </si>
  <si>
    <t xml:space="preserve">Outras Despesas Corrente  RPPS </t>
  </si>
  <si>
    <t xml:space="preserve">Invetimentos  RPPS  </t>
  </si>
  <si>
    <t>Receita de Contribuições  -  R P P S</t>
  </si>
  <si>
    <t xml:space="preserve">Pessoal  do  R P P S </t>
  </si>
  <si>
    <t xml:space="preserve">Juros e encargos da Dívida RPPS </t>
  </si>
  <si>
    <t>Outras Despesas Corrente  RPPS</t>
  </si>
  <si>
    <t xml:space="preserve">Invetimentos  RPPS </t>
  </si>
  <si>
    <t>Inflação para 2018: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</si>
  <si>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</si>
  <si>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</si>
  <si>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</si>
  <si>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</si>
  <si>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</si>
  <si>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t>Taxa de Juros Selic (Média do Ano)</t>
  </si>
  <si>
    <t>SALDOS DE EXERCÍCIOS ANTERIORES A 2013</t>
  </si>
  <si>
    <t>Obs:  1 -   Os valores da renúncia para 2017 foram previstos de acordo com informações do setor tributário</t>
  </si>
  <si>
    <t>2 - Os valores da renúncia projetados para 2018 e 2019, foram claculados a partir dos valores de 2017, apli</t>
  </si>
  <si>
    <t>Inflação para 2019:</t>
  </si>
  <si>
    <t>Valor Previsto 2017</t>
  </si>
  <si>
    <t>RECURSOS PRIORIZADOS PARA 2017</t>
  </si>
  <si>
    <t>ARRECADADA</t>
  </si>
  <si>
    <t>REALIZADA</t>
  </si>
  <si>
    <t>Município de : Boqueirão do Leão - RS</t>
  </si>
  <si>
    <t xml:space="preserve">Os parâmetros acima foram utilizados para as projeções de receitas e despesas, bem como para os cálculos em valores correntes e constantes, de acordo com sua pertinência, ou não com as fontes de receitas e/ou grupo </t>
  </si>
  <si>
    <t>de natureza de despesa, de acordo com os indices atualizados nesse periodo junto ao Bacen.</t>
  </si>
  <si>
    <t>Nota:</t>
  </si>
  <si>
    <t>LEI DE DIRETRIZES ORÇAMENTÁRIAS  PARA 2018</t>
  </si>
  <si>
    <t>EXERCÍCIO DE 2018</t>
  </si>
  <si>
    <t xml:space="preserve"> EXERCÍCIO DE 2018</t>
  </si>
  <si>
    <t>LEI DE DIRETRIZES ORÇAMENTÁRIAS – 2018</t>
  </si>
  <si>
    <t>LEI DE DIRETRIZES ORÇAMENTÁRIAS - 2018</t>
  </si>
  <si>
    <t>ATÉ EXERC ANTERIOR - 2016</t>
  </si>
  <si>
    <t>NO EXERCÍCIO DE 2017</t>
  </si>
  <si>
    <t>A EXECUTAR EM 2018</t>
  </si>
  <si>
    <t>2016 (a)</t>
  </si>
  <si>
    <t>2016 (b)</t>
  </si>
  <si>
    <t>Valor Previsto 2018</t>
  </si>
  <si>
    <t>LEI DE DIRETRIZES ORÇAMENTÁRIAS PARA 2018</t>
  </si>
  <si>
    <t>MEMÓRIA DE CÁLCULO DAS RECEITAS E DESPESAS - LDO PARA  2017</t>
  </si>
  <si>
    <t>Fonte: Sistema Betha Sistemas, Unidade Responsável Contabilidade, Data da emissão 20/06/2017 e hora de emissão 08:34</t>
  </si>
  <si>
    <r>
      <t xml:space="preserve">Fonte: </t>
    </r>
    <r>
      <rPr>
        <sz val="10"/>
        <rFont val="Arial"/>
        <family val="2"/>
      </rPr>
      <t>Nota Técnica Atuarial elaborada por Auditec - Auditoria Técnica Atuarial.     Data:</t>
    </r>
  </si>
  <si>
    <t>Plano Receitas e Despesas Arrecadas Anos Anteriores e Reestimadas para 2017</t>
  </si>
  <si>
    <t>MUNICÍPIO DE BOQUEIRÃO DO LEÃO - RS</t>
  </si>
  <si>
    <t>EXERCÍCIO 2017</t>
  </si>
  <si>
    <t>ANEXOS A LEI DAS DIRETRIZES ORÇAMENTÁRIAS - LDO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</si>
</sst>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[$-416]dddd\,\ d&quot; de &quot;mmmm&quot; de &quot;yyyy"/>
    <numFmt numFmtId="199" formatCode="00000"/>
  </numFmts>
  <fonts count="8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u val="single"/>
      <vertAlign val="superscript"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Wingdings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>
        <color theme="3" tint="-0.24993999302387238"/>
      </left>
      <right/>
      <top style="double">
        <color theme="3" tint="-0.24993999302387238"/>
      </top>
      <bottom/>
    </border>
    <border>
      <left/>
      <right/>
      <top style="double">
        <color theme="3" tint="-0.24993999302387238"/>
      </top>
      <bottom/>
    </border>
    <border>
      <left/>
      <right style="double">
        <color theme="3" tint="-0.24993999302387238"/>
      </right>
      <top style="double">
        <color theme="3" tint="-0.24993999302387238"/>
      </top>
      <bottom/>
    </border>
    <border>
      <left style="double">
        <color theme="3" tint="-0.24993999302387238"/>
      </left>
      <right/>
      <top/>
      <bottom/>
    </border>
    <border>
      <left/>
      <right style="double">
        <color theme="3" tint="-0.24993999302387238"/>
      </right>
      <top/>
      <bottom/>
    </border>
    <border>
      <left style="double">
        <color theme="3" tint="-0.24993999302387238"/>
      </left>
      <right/>
      <top/>
      <bottom style="double">
        <color theme="3" tint="-0.24993999302387238"/>
      </bottom>
    </border>
    <border>
      <left/>
      <right/>
      <top/>
      <bottom style="double">
        <color theme="3" tint="-0.24993999302387238"/>
      </bottom>
    </border>
    <border>
      <left/>
      <right style="double">
        <color theme="3" tint="-0.24993999302387238"/>
      </right>
      <top/>
      <bottom style="double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</cellStyleXfs>
  <cellXfs count="669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/>
      <protection locked="0"/>
    </xf>
    <xf numFmtId="184" fontId="3" fillId="33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Border="1" applyAlignment="1" applyProtection="1">
      <alignment/>
      <protection locked="0"/>
    </xf>
    <xf numFmtId="38" fontId="3" fillId="0" borderId="11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4" borderId="0" xfId="5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38" fontId="7" fillId="34" borderId="10" xfId="0" applyNumberFormat="1" applyFont="1" applyFill="1" applyBorder="1" applyAlignment="1" applyProtection="1">
      <alignment/>
      <protection locked="0"/>
    </xf>
    <xf numFmtId="38" fontId="7" fillId="34" borderId="12" xfId="0" applyNumberFormat="1" applyFont="1" applyFill="1" applyBorder="1" applyAlignment="1" applyProtection="1">
      <alignment/>
      <protection locked="0"/>
    </xf>
    <xf numFmtId="184" fontId="3" fillId="33" borderId="11" xfId="0" applyNumberFormat="1" applyFont="1" applyFill="1" applyBorder="1" applyAlignment="1" applyProtection="1">
      <alignment horizontal="center"/>
      <protection locked="0"/>
    </xf>
    <xf numFmtId="184" fontId="5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167" fontId="17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19" fillId="0" borderId="16" xfId="0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21" xfId="0" applyFill="1" applyBorder="1" applyAlignment="1">
      <alignment/>
    </xf>
    <xf numFmtId="4" fontId="9" fillId="35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8" fontId="22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38" fontId="24" fillId="0" borderId="0" xfId="0" applyNumberFormat="1" applyFont="1" applyBorder="1" applyAlignment="1" applyProtection="1">
      <alignment horizontal="centerContinuous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right"/>
      <protection locked="0"/>
    </xf>
    <xf numFmtId="184" fontId="1" fillId="33" borderId="2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24" fillId="0" borderId="27" xfId="0" applyNumberFormat="1" applyFont="1" applyBorder="1" applyAlignment="1" applyProtection="1">
      <alignment/>
      <protection locked="0"/>
    </xf>
    <xf numFmtId="4" fontId="24" fillId="34" borderId="26" xfId="0" applyNumberFormat="1" applyFont="1" applyFill="1" applyBorder="1" applyAlignment="1" applyProtection="1">
      <alignment vertical="center"/>
      <protection locked="0"/>
    </xf>
    <xf numFmtId="4" fontId="2" fillId="34" borderId="26" xfId="0" applyNumberFormat="1" applyFont="1" applyFill="1" applyBorder="1" applyAlignment="1" applyProtection="1">
      <alignment/>
      <protection locked="0"/>
    </xf>
    <xf numFmtId="38" fontId="24" fillId="0" borderId="0" xfId="0" applyNumberFormat="1" applyFont="1" applyAlignment="1" applyProtection="1">
      <alignment/>
      <protection locked="0"/>
    </xf>
    <xf numFmtId="184" fontId="14" fillId="33" borderId="27" xfId="0" applyNumberFormat="1" applyFont="1" applyFill="1" applyBorder="1" applyAlignment="1" applyProtection="1">
      <alignment horizontal="center"/>
      <protection locked="0"/>
    </xf>
    <xf numFmtId="184" fontId="14" fillId="33" borderId="26" xfId="0" applyNumberFormat="1" applyFont="1" applyFill="1" applyBorder="1" applyAlignment="1" applyProtection="1">
      <alignment horizontal="center"/>
      <protection locked="0"/>
    </xf>
    <xf numFmtId="184" fontId="1" fillId="33" borderId="27" xfId="0" applyNumberFormat="1" applyFont="1" applyFill="1" applyBorder="1" applyAlignment="1">
      <alignment horizontal="center" vertical="center"/>
    </xf>
    <xf numFmtId="38" fontId="14" fillId="0" borderId="27" xfId="0" applyNumberFormat="1" applyFont="1" applyBorder="1" applyAlignment="1" applyProtection="1">
      <alignment/>
      <protection locked="0"/>
    </xf>
    <xf numFmtId="38" fontId="14" fillId="0" borderId="26" xfId="0" applyNumberFormat="1" applyFont="1" applyBorder="1" applyAlignment="1" applyProtection="1">
      <alignment/>
      <protection locked="0"/>
    </xf>
    <xf numFmtId="38" fontId="14" fillId="34" borderId="26" xfId="0" applyNumberFormat="1" applyFont="1" applyFill="1" applyBorder="1" applyAlignment="1" applyProtection="1">
      <alignment/>
      <protection locked="0"/>
    </xf>
    <xf numFmtId="38" fontId="14" fillId="0" borderId="28" xfId="0" applyNumberFormat="1" applyFont="1" applyBorder="1" applyAlignment="1" applyProtection="1">
      <alignment/>
      <protection locked="0"/>
    </xf>
    <xf numFmtId="38" fontId="14" fillId="34" borderId="29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4" fontId="0" fillId="36" borderId="25" xfId="0" applyNumberFormat="1" applyFont="1" applyFill="1" applyBorder="1" applyAlignment="1">
      <alignment/>
    </xf>
    <xf numFmtId="0" fontId="9" fillId="35" borderId="30" xfId="0" applyFont="1" applyFill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49" fontId="17" fillId="0" borderId="3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34" borderId="0" xfId="0" applyFont="1" applyFill="1" applyBorder="1" applyAlignment="1">
      <alignment/>
    </xf>
    <xf numFmtId="4" fontId="25" fillId="34" borderId="0" xfId="51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4" fontId="0" fillId="35" borderId="25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9" fillId="35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9" fillId="0" borderId="25" xfId="0" applyNumberFormat="1" applyFont="1" applyFill="1" applyBorder="1" applyAlignment="1">
      <alignment/>
    </xf>
    <xf numFmtId="171" fontId="0" fillId="0" borderId="2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5" fillId="0" borderId="0" xfId="0" applyFont="1" applyBorder="1" applyAlignment="1">
      <alignment/>
    </xf>
    <xf numFmtId="171" fontId="2" fillId="0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vertical="top" wrapText="1"/>
    </xf>
    <xf numFmtId="167" fontId="19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right" vertical="top" wrapText="1"/>
    </xf>
    <xf numFmtId="0" fontId="17" fillId="0" borderId="34" xfId="0" applyFont="1" applyBorder="1" applyAlignment="1">
      <alignment horizontal="left"/>
    </xf>
    <xf numFmtId="169" fontId="0" fillId="0" borderId="15" xfId="0" applyNumberFormat="1" applyFont="1" applyFill="1" applyBorder="1" applyAlignment="1" applyProtection="1">
      <alignment horizontal="right"/>
      <protection locked="0"/>
    </xf>
    <xf numFmtId="169" fontId="0" fillId="0" borderId="14" xfId="0" applyNumberFormat="1" applyFont="1" applyFill="1" applyBorder="1" applyAlignment="1" applyProtection="1">
      <alignment horizontal="right"/>
      <protection locked="0"/>
    </xf>
    <xf numFmtId="171" fontId="21" fillId="0" borderId="15" xfId="0" applyNumberFormat="1" applyFont="1" applyFill="1" applyBorder="1" applyAlignment="1" applyProtection="1">
      <alignment vertical="top" wrapText="1"/>
      <protection locked="0"/>
    </xf>
    <xf numFmtId="171" fontId="21" fillId="0" borderId="14" xfId="0" applyNumberFormat="1" applyFont="1" applyFill="1" applyBorder="1" applyAlignment="1" applyProtection="1">
      <alignment vertical="top" wrapText="1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9" fillId="0" borderId="25" xfId="0" applyNumberFormat="1" applyFont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167" fontId="0" fillId="0" borderId="38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wrapText="1"/>
    </xf>
    <xf numFmtId="171" fontId="0" fillId="0" borderId="15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171" fontId="0" fillId="0" borderId="14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horizontal="left"/>
    </xf>
    <xf numFmtId="0" fontId="17" fillId="0" borderId="16" xfId="0" applyFont="1" applyFill="1" applyBorder="1" applyAlignment="1">
      <alignment wrapText="1"/>
    </xf>
    <xf numFmtId="0" fontId="17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4" fontId="10" fillId="34" borderId="0" xfId="51" applyNumberFormat="1" applyFont="1" applyFill="1" applyBorder="1" applyAlignment="1">
      <alignment/>
    </xf>
    <xf numFmtId="4" fontId="21" fillId="34" borderId="0" xfId="51" applyNumberFormat="1" applyFont="1" applyFill="1" applyBorder="1" applyAlignment="1">
      <alignment/>
    </xf>
    <xf numFmtId="0" fontId="10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184" fontId="1" fillId="0" borderId="40" xfId="0" applyNumberFormat="1" applyFont="1" applyFill="1" applyBorder="1" applyAlignment="1">
      <alignment horizontal="center" vertical="center"/>
    </xf>
    <xf numFmtId="184" fontId="14" fillId="0" borderId="41" xfId="0" applyNumberFormat="1" applyFont="1" applyFill="1" applyBorder="1" applyAlignment="1" applyProtection="1">
      <alignment horizontal="center"/>
      <protection locked="0"/>
    </xf>
    <xf numFmtId="184" fontId="14" fillId="0" borderId="42" xfId="0" applyNumberFormat="1" applyFont="1" applyFill="1" applyBorder="1" applyAlignment="1" applyProtection="1">
      <alignment horizontal="center"/>
      <protection locked="0"/>
    </xf>
    <xf numFmtId="184" fontId="14" fillId="0" borderId="43" xfId="0" applyNumberFormat="1" applyFont="1" applyFill="1" applyBorder="1" applyAlignment="1" applyProtection="1">
      <alignment horizontal="center"/>
      <protection locked="0"/>
    </xf>
    <xf numFmtId="184" fontId="14" fillId="0" borderId="44" xfId="0" applyNumberFormat="1" applyFont="1" applyFill="1" applyBorder="1" applyAlignment="1" applyProtection="1">
      <alignment horizont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183" fontId="1" fillId="0" borderId="45" xfId="47" applyFont="1" applyFill="1" applyBorder="1" applyAlignment="1">
      <alignment horizontal="center" vertical="center"/>
    </xf>
    <xf numFmtId="184" fontId="1" fillId="0" borderId="27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/>
      <protection locked="0"/>
    </xf>
    <xf numFmtId="0" fontId="14" fillId="0" borderId="45" xfId="0" applyNumberFormat="1" applyFont="1" applyFill="1" applyBorder="1" applyAlignment="1" applyProtection="1">
      <alignment horizontal="left"/>
      <protection locked="0"/>
    </xf>
    <xf numFmtId="3" fontId="14" fillId="0" borderId="27" xfId="0" applyNumberFormat="1" applyFont="1" applyFill="1" applyBorder="1" applyAlignment="1" applyProtection="1">
      <alignment horizontal="right"/>
      <protection locked="0"/>
    </xf>
    <xf numFmtId="3" fontId="14" fillId="0" borderId="26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Fill="1" applyBorder="1" applyAlignment="1" applyProtection="1">
      <alignment horizontal="right"/>
      <protection locked="0"/>
    </xf>
    <xf numFmtId="3" fontId="14" fillId="0" borderId="4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4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167" fontId="0" fillId="0" borderId="16" xfId="0" applyNumberFormat="1" applyFont="1" applyFill="1" applyBorder="1" applyAlignment="1">
      <alignment horizontal="left"/>
    </xf>
    <xf numFmtId="169" fontId="0" fillId="0" borderId="15" xfId="0" applyNumberFormat="1" applyFont="1" applyFill="1" applyBorder="1" applyAlignment="1">
      <alignment horizontal="right" wrapText="1"/>
    </xf>
    <xf numFmtId="10" fontId="0" fillId="0" borderId="15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 vertical="top"/>
    </xf>
    <xf numFmtId="10" fontId="0" fillId="0" borderId="15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69" fontId="0" fillId="0" borderId="15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vertical="top" wrapText="1"/>
    </xf>
    <xf numFmtId="167" fontId="21" fillId="0" borderId="16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171" fontId="21" fillId="0" borderId="15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top" wrapText="1"/>
    </xf>
    <xf numFmtId="171" fontId="21" fillId="0" borderId="15" xfId="0" applyNumberFormat="1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171" fontId="21" fillId="0" borderId="14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171" fontId="21" fillId="0" borderId="0" xfId="0" applyNumberFormat="1" applyFont="1" applyFill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wrapText="1"/>
    </xf>
    <xf numFmtId="0" fontId="20" fillId="0" borderId="15" xfId="0" applyFont="1" applyFill="1" applyBorder="1" applyAlignment="1">
      <alignment vertical="top" wrapText="1"/>
    </xf>
    <xf numFmtId="171" fontId="1" fillId="0" borderId="0" xfId="0" applyNumberFormat="1" applyFont="1" applyFill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171" fontId="2" fillId="0" borderId="0" xfId="0" applyNumberFormat="1" applyFont="1" applyFill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vertical="top" wrapText="1"/>
    </xf>
    <xf numFmtId="171" fontId="2" fillId="0" borderId="17" xfId="0" applyNumberFormat="1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71" fontId="18" fillId="33" borderId="0" xfId="0" applyNumberFormat="1" applyFont="1" applyFill="1" applyAlignment="1" applyProtection="1">
      <alignment vertical="top" wrapText="1"/>
      <protection locked="0"/>
    </xf>
    <xf numFmtId="171" fontId="17" fillId="0" borderId="0" xfId="0" applyNumberFormat="1" applyFont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vertical="top" wrapText="1"/>
      <protection locked="0"/>
    </xf>
    <xf numFmtId="171" fontId="17" fillId="0" borderId="17" xfId="0" applyNumberFormat="1" applyFont="1" applyBorder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10" fontId="2" fillId="0" borderId="15" xfId="0" applyNumberFormat="1" applyFont="1" applyFill="1" applyBorder="1" applyAlignment="1">
      <alignment wrapText="1"/>
    </xf>
    <xf numFmtId="171" fontId="2" fillId="0" borderId="15" xfId="0" applyNumberFormat="1" applyFont="1" applyFill="1" applyBorder="1" applyAlignment="1" applyProtection="1">
      <alignment wrapText="1"/>
      <protection locked="0"/>
    </xf>
    <xf numFmtId="171" fontId="2" fillId="0" borderId="14" xfId="0" applyNumberFormat="1" applyFont="1" applyFill="1" applyBorder="1" applyAlignment="1" applyProtection="1">
      <alignment wrapText="1"/>
      <protection locked="0"/>
    </xf>
    <xf numFmtId="10" fontId="2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171" fontId="2" fillId="0" borderId="14" xfId="0" applyNumberFormat="1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left" wrapText="1"/>
    </xf>
    <xf numFmtId="171" fontId="19" fillId="0" borderId="25" xfId="0" applyNumberFormat="1" applyFont="1" applyBorder="1" applyAlignment="1">
      <alignment horizontal="justify" vertical="top" wrapText="1"/>
    </xf>
    <xf numFmtId="0" fontId="19" fillId="0" borderId="25" xfId="0" applyFont="1" applyBorder="1" applyAlignment="1">
      <alignment horizontal="justify" vertical="top" wrapText="1"/>
    </xf>
    <xf numFmtId="0" fontId="19" fillId="0" borderId="25" xfId="0" applyFont="1" applyFill="1" applyBorder="1" applyAlignment="1">
      <alignment horizontal="left" wrapText="1"/>
    </xf>
    <xf numFmtId="171" fontId="19" fillId="0" borderId="25" xfId="0" applyNumberFormat="1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9" fillId="0" borderId="34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/>
    </xf>
    <xf numFmtId="0" fontId="19" fillId="0" borderId="48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171" fontId="20" fillId="0" borderId="15" xfId="0" applyNumberFormat="1" applyFont="1" applyFill="1" applyBorder="1" applyAlignment="1">
      <alignment/>
    </xf>
    <xf numFmtId="171" fontId="20" fillId="0" borderId="15" xfId="0" applyNumberFormat="1" applyFont="1" applyFill="1" applyBorder="1" applyAlignment="1">
      <alignment horizontal="left" vertical="top" wrapText="1"/>
    </xf>
    <xf numFmtId="171" fontId="19" fillId="0" borderId="15" xfId="0" applyNumberFormat="1" applyFont="1" applyFill="1" applyBorder="1" applyAlignment="1">
      <alignment horizontal="left" vertical="top" wrapText="1"/>
    </xf>
    <xf numFmtId="171" fontId="20" fillId="0" borderId="39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19" fillId="0" borderId="14" xfId="0" applyNumberFormat="1" applyFont="1" applyFill="1" applyBorder="1" applyAlignment="1">
      <alignment horizontal="left" vertical="top" wrapText="1"/>
    </xf>
    <xf numFmtId="171" fontId="19" fillId="0" borderId="17" xfId="0" applyNumberFormat="1" applyFont="1" applyFill="1" applyBorder="1" applyAlignment="1">
      <alignment horizontal="left" vertical="top" wrapText="1"/>
    </xf>
    <xf numFmtId="171" fontId="20" fillId="0" borderId="14" xfId="0" applyNumberFormat="1" applyFont="1" applyFill="1" applyBorder="1" applyAlignment="1">
      <alignment horizontal="left" vertical="top" wrapText="1"/>
    </xf>
    <xf numFmtId="171" fontId="19" fillId="0" borderId="14" xfId="0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left" wrapText="1"/>
    </xf>
    <xf numFmtId="171" fontId="20" fillId="0" borderId="25" xfId="0" applyNumberFormat="1" applyFont="1" applyFill="1" applyBorder="1" applyAlignment="1">
      <alignment horizontal="justify" vertical="top" wrapText="1"/>
    </xf>
    <xf numFmtId="0" fontId="20" fillId="0" borderId="24" xfId="0" applyFont="1" applyFill="1" applyBorder="1" applyAlignment="1">
      <alignment horizontal="left" wrapText="1"/>
    </xf>
    <xf numFmtId="171" fontId="20" fillId="0" borderId="24" xfId="0" applyNumberFormat="1" applyFont="1" applyFill="1" applyBorder="1" applyAlignment="1">
      <alignment horizontal="justify" vertical="top" wrapText="1"/>
    </xf>
    <xf numFmtId="3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 applyProtection="1">
      <alignment/>
      <protection locked="0"/>
    </xf>
    <xf numFmtId="171" fontId="10" fillId="0" borderId="25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171" fontId="10" fillId="0" borderId="25" xfId="0" applyNumberFormat="1" applyFont="1" applyFill="1" applyBorder="1" applyAlignment="1">
      <alignment horizontal="right"/>
    </xf>
    <xf numFmtId="171" fontId="10" fillId="0" borderId="25" xfId="0" applyNumberFormat="1" applyFont="1" applyFill="1" applyBorder="1" applyAlignment="1" applyProtection="1">
      <alignment horizontal="right"/>
      <protection locked="0"/>
    </xf>
    <xf numFmtId="171" fontId="21" fillId="0" borderId="25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vertical="top" wrapText="1"/>
    </xf>
    <xf numFmtId="0" fontId="19" fillId="0" borderId="25" xfId="0" applyFont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197" fontId="2" fillId="0" borderId="25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0" fontId="9" fillId="37" borderId="25" xfId="0" applyFont="1" applyFill="1" applyBorder="1" applyAlignment="1" applyProtection="1">
      <alignment/>
      <protection locked="0"/>
    </xf>
    <xf numFmtId="0" fontId="9" fillId="37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9" fillId="38" borderId="25" xfId="0" applyFont="1" applyFill="1" applyBorder="1" applyAlignment="1">
      <alignment/>
    </xf>
    <xf numFmtId="10" fontId="0" fillId="0" borderId="25" xfId="0" applyNumberFormat="1" applyFont="1" applyFill="1" applyBorder="1" applyAlignment="1" applyProtection="1">
      <alignment/>
      <protection locked="0"/>
    </xf>
    <xf numFmtId="0" fontId="9" fillId="0" borderId="25" xfId="0" applyFont="1" applyBorder="1" applyAlignment="1">
      <alignment/>
    </xf>
    <xf numFmtId="169" fontId="0" fillId="0" borderId="25" xfId="0" applyNumberFormat="1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/>
    </xf>
    <xf numFmtId="0" fontId="19" fillId="0" borderId="25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horizontal="right" wrapText="1"/>
    </xf>
    <xf numFmtId="169" fontId="2" fillId="0" borderId="25" xfId="0" applyNumberFormat="1" applyFont="1" applyFill="1" applyBorder="1" applyAlignment="1">
      <alignment vertical="top" wrapText="1"/>
    </xf>
    <xf numFmtId="10" fontId="2" fillId="0" borderId="25" xfId="0" applyNumberFormat="1" applyFont="1" applyFill="1" applyBorder="1" applyAlignment="1">
      <alignment vertical="top" wrapText="1"/>
    </xf>
    <xf numFmtId="169" fontId="2" fillId="0" borderId="25" xfId="0" applyNumberFormat="1" applyFont="1" applyFill="1" applyBorder="1" applyAlignment="1" applyProtection="1">
      <alignment wrapText="1"/>
      <protection locked="0"/>
    </xf>
    <xf numFmtId="43" fontId="0" fillId="0" borderId="14" xfId="0" applyNumberFormat="1" applyFont="1" applyFill="1" applyBorder="1" applyAlignment="1">
      <alignment horizontal="left" vertical="top" wrapText="1"/>
    </xf>
    <xf numFmtId="43" fontId="0" fillId="0" borderId="17" xfId="0" applyNumberFormat="1" applyFont="1" applyFill="1" applyBorder="1" applyAlignment="1">
      <alignment horizontal="left" vertical="top" wrapText="1"/>
    </xf>
    <xf numFmtId="43" fontId="19" fillId="0" borderId="14" xfId="0" applyNumberFormat="1" applyFont="1" applyFill="1" applyBorder="1" applyAlignment="1">
      <alignment horizontal="left" vertical="top" wrapText="1"/>
    </xf>
    <xf numFmtId="43" fontId="19" fillId="0" borderId="17" xfId="0" applyNumberFormat="1" applyFont="1" applyFill="1" applyBorder="1" applyAlignment="1">
      <alignment horizontal="left"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0" fontId="25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9" borderId="54" xfId="0" applyFont="1" applyFill="1" applyBorder="1" applyAlignment="1">
      <alignment horizontal="center" vertical="top" wrapText="1"/>
    </xf>
    <xf numFmtId="0" fontId="26" fillId="39" borderId="50" xfId="0" applyFont="1" applyFill="1" applyBorder="1" applyAlignment="1">
      <alignment horizontal="center" vertical="top" wrapText="1"/>
    </xf>
    <xf numFmtId="0" fontId="26" fillId="39" borderId="53" xfId="0" applyFont="1" applyFill="1" applyBorder="1" applyAlignment="1">
      <alignment horizontal="center" vertical="top" wrapText="1"/>
    </xf>
    <xf numFmtId="0" fontId="0" fillId="39" borderId="53" xfId="0" applyFill="1" applyBorder="1" applyAlignment="1">
      <alignment vertical="top" wrapText="1"/>
    </xf>
    <xf numFmtId="0" fontId="26" fillId="39" borderId="50" xfId="0" applyFont="1" applyFill="1" applyBorder="1" applyAlignment="1">
      <alignment vertical="top" wrapText="1"/>
    </xf>
    <xf numFmtId="0" fontId="26" fillId="39" borderId="53" xfId="0" applyFont="1" applyFill="1" applyBorder="1" applyAlignment="1">
      <alignment vertical="top" wrapText="1"/>
    </xf>
    <xf numFmtId="0" fontId="25" fillId="0" borderId="53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 wrapText="1"/>
    </xf>
    <xf numFmtId="171" fontId="0" fillId="0" borderId="53" xfId="0" applyNumberFormat="1" applyFont="1" applyBorder="1" applyAlignment="1">
      <alignment horizontal="center" wrapText="1"/>
    </xf>
    <xf numFmtId="0" fontId="0" fillId="0" borderId="53" xfId="0" applyFont="1" applyBorder="1" applyAlignment="1">
      <alignment horizontal="right" wrapText="1"/>
    </xf>
    <xf numFmtId="171" fontId="0" fillId="0" borderId="53" xfId="0" applyNumberFormat="1" applyFont="1" applyBorder="1" applyAlignment="1">
      <alignment horizontal="right" wrapText="1"/>
    </xf>
    <xf numFmtId="0" fontId="37" fillId="35" borderId="15" xfId="0" applyFont="1" applyFill="1" applyBorder="1" applyAlignment="1">
      <alignment/>
    </xf>
    <xf numFmtId="0" fontId="37" fillId="35" borderId="22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171" fontId="37" fillId="0" borderId="25" xfId="0" applyNumberFormat="1" applyFont="1" applyFill="1" applyBorder="1" applyAlignment="1">
      <alignment/>
    </xf>
    <xf numFmtId="0" fontId="37" fillId="0" borderId="22" xfId="0" applyFont="1" applyFill="1" applyBorder="1" applyAlignment="1">
      <alignment/>
    </xf>
    <xf numFmtId="49" fontId="19" fillId="0" borderId="31" xfId="0" applyNumberFormat="1" applyFont="1" applyBorder="1" applyAlignment="1">
      <alignment horizontal="justify" wrapText="1"/>
    </xf>
    <xf numFmtId="0" fontId="0" fillId="0" borderId="32" xfId="0" applyFont="1" applyBorder="1" applyAlignment="1">
      <alignment horizontal="justify" wrapText="1"/>
    </xf>
    <xf numFmtId="0" fontId="0" fillId="0" borderId="33" xfId="0" applyFont="1" applyBorder="1" applyAlignment="1">
      <alignment horizontal="justify" wrapText="1"/>
    </xf>
    <xf numFmtId="0" fontId="19" fillId="0" borderId="55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wrapText="1"/>
    </xf>
    <xf numFmtId="0" fontId="19" fillId="0" borderId="58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wrapText="1"/>
    </xf>
    <xf numFmtId="0" fontId="19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169" fontId="2" fillId="40" borderId="15" xfId="0" applyNumberFormat="1" applyFont="1" applyFill="1" applyBorder="1" applyAlignment="1">
      <alignment wrapText="1"/>
    </xf>
    <xf numFmtId="197" fontId="2" fillId="40" borderId="15" xfId="0" applyNumberFormat="1" applyFont="1" applyFill="1" applyBorder="1" applyAlignment="1">
      <alignment wrapText="1"/>
    </xf>
    <xf numFmtId="0" fontId="9" fillId="0" borderId="34" xfId="0" applyFont="1" applyFill="1" applyBorder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10" fontId="0" fillId="0" borderId="25" xfId="0" applyNumberFormat="1" applyFont="1" applyFill="1" applyBorder="1" applyAlignment="1" applyProtection="1">
      <alignment horizontal="right"/>
      <protection locked="0"/>
    </xf>
    <xf numFmtId="169" fontId="0" fillId="0" borderId="25" xfId="0" applyNumberFormat="1" applyFont="1" applyFill="1" applyBorder="1" applyAlignment="1" applyProtection="1">
      <alignment horizontal="center"/>
      <protection locked="0"/>
    </xf>
    <xf numFmtId="38" fontId="24" fillId="0" borderId="0" xfId="0" applyNumberFormat="1" applyFont="1" applyAlignment="1" applyProtection="1">
      <alignment horizontal="left"/>
      <protection locked="0"/>
    </xf>
    <xf numFmtId="38" fontId="4" fillId="0" borderId="0" xfId="0" applyNumberFormat="1" applyFont="1" applyAlignment="1" applyProtection="1">
      <alignment horizontal="left"/>
      <protection locked="0"/>
    </xf>
    <xf numFmtId="10" fontId="0" fillId="0" borderId="25" xfId="0" applyNumberFormat="1" applyFont="1" applyFill="1" applyBorder="1" applyAlignment="1" applyProtection="1">
      <alignment horizontal="right"/>
      <protection/>
    </xf>
    <xf numFmtId="0" fontId="19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49" xfId="0" applyFont="1" applyFill="1" applyBorder="1" applyAlignment="1">
      <alignment horizontal="left" vertical="top"/>
    </xf>
    <xf numFmtId="167" fontId="19" fillId="0" borderId="62" xfId="0" applyNumberFormat="1" applyFont="1" applyFill="1" applyBorder="1" applyAlignment="1">
      <alignment horizontal="right" vertical="top" wrapText="1"/>
    </xf>
    <xf numFmtId="0" fontId="19" fillId="0" borderId="63" xfId="0" applyFont="1" applyFill="1" applyBorder="1" applyAlignment="1">
      <alignment horizontal="center" wrapText="1"/>
    </xf>
    <xf numFmtId="0" fontId="19" fillId="0" borderId="64" xfId="0" applyFont="1" applyFill="1" applyBorder="1" applyAlignment="1">
      <alignment horizontal="left" vertical="top"/>
    </xf>
    <xf numFmtId="0" fontId="19" fillId="0" borderId="64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29" fillId="0" borderId="66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right" vertical="top" wrapText="1"/>
    </xf>
    <xf numFmtId="43" fontId="0" fillId="0" borderId="66" xfId="0" applyNumberFormat="1" applyFont="1" applyFill="1" applyBorder="1" applyAlignment="1">
      <alignment horizontal="right" vertical="top" wrapText="1"/>
    </xf>
    <xf numFmtId="0" fontId="9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3" fontId="0" fillId="0" borderId="67" xfId="0" applyNumberFormat="1" applyFont="1" applyFill="1" applyBorder="1" applyAlignment="1">
      <alignment horizontal="right" vertical="top" wrapText="1"/>
    </xf>
    <xf numFmtId="17" fontId="0" fillId="0" borderId="53" xfId="0" applyNumberFormat="1" applyFont="1" applyFill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38" fontId="18" fillId="0" borderId="32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38" fontId="25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38" fontId="38" fillId="0" borderId="31" xfId="0" applyNumberFormat="1" applyFont="1" applyBorder="1" applyAlignment="1">
      <alignment horizontal="center"/>
    </xf>
    <xf numFmtId="38" fontId="38" fillId="0" borderId="32" xfId="0" applyNumberFormat="1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68" xfId="0" applyFont="1" applyBorder="1" applyAlignment="1">
      <alignment horizontal="center"/>
    </xf>
    <xf numFmtId="0" fontId="38" fillId="0" borderId="69" xfId="0" applyFont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39" xfId="0" applyBorder="1" applyAlignment="1">
      <alignment wrapText="1"/>
    </xf>
    <xf numFmtId="0" fontId="26" fillId="0" borderId="36" xfId="0" applyFont="1" applyBorder="1" applyAlignment="1">
      <alignment/>
    </xf>
    <xf numFmtId="38" fontId="24" fillId="0" borderId="0" xfId="0" applyNumberFormat="1" applyFont="1" applyAlignment="1" applyProtection="1">
      <alignment horizontal="left"/>
      <protection locked="0"/>
    </xf>
    <xf numFmtId="38" fontId="38" fillId="0" borderId="71" xfId="0" applyNumberFormat="1" applyFont="1" applyBorder="1" applyAlignment="1">
      <alignment horizontal="center"/>
    </xf>
    <xf numFmtId="38" fontId="38" fillId="0" borderId="0" xfId="0" applyNumberFormat="1" applyFont="1" applyBorder="1" applyAlignment="1">
      <alignment horizontal="center"/>
    </xf>
    <xf numFmtId="0" fontId="38" fillId="0" borderId="7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167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justify"/>
    </xf>
    <xf numFmtId="0" fontId="0" fillId="0" borderId="37" xfId="0" applyFill="1" applyBorder="1" applyAlignment="1">
      <alignment/>
    </xf>
    <xf numFmtId="0" fontId="38" fillId="0" borderId="31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38" fontId="38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48" xfId="0" applyFont="1" applyFill="1" applyBorder="1" applyAlignment="1">
      <alignment horizontal="center" wrapText="1"/>
    </xf>
    <xf numFmtId="0" fontId="19" fillId="0" borderId="34" xfId="0" applyFont="1" applyBorder="1" applyAlignment="1">
      <alignment horizontal="left"/>
    </xf>
    <xf numFmtId="0" fontId="2" fillId="0" borderId="48" xfId="0" applyFont="1" applyFill="1" applyBorder="1" applyAlignment="1">
      <alignment wrapText="1"/>
    </xf>
    <xf numFmtId="0" fontId="17" fillId="0" borderId="35" xfId="0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21" fillId="0" borderId="48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32" fillId="0" borderId="48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0" fillId="0" borderId="48" xfId="0" applyFont="1" applyFill="1" applyBorder="1" applyAlignment="1">
      <alignment horizontal="left" vertical="top" wrapText="1"/>
    </xf>
    <xf numFmtId="0" fontId="20" fillId="0" borderId="39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32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38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19" fillId="0" borderId="48" xfId="0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center" vertical="top" wrapText="1"/>
    </xf>
    <xf numFmtId="0" fontId="33" fillId="0" borderId="34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43" fontId="0" fillId="0" borderId="19" xfId="0" applyNumberFormat="1" applyFont="1" applyFill="1" applyBorder="1" applyAlignment="1">
      <alignment horizontal="right" vertical="top" wrapText="1"/>
    </xf>
    <xf numFmtId="43" fontId="0" fillId="0" borderId="15" xfId="0" applyNumberFormat="1" applyBorder="1" applyAlignment="1">
      <alignment horizontal="right" vertical="top" wrapText="1"/>
    </xf>
    <xf numFmtId="43" fontId="0" fillId="0" borderId="19" xfId="0" applyNumberFormat="1" applyBorder="1" applyAlignment="1">
      <alignment horizontal="center" vertical="center" wrapText="1"/>
    </xf>
    <xf numFmtId="43" fontId="0" fillId="0" borderId="15" xfId="0" applyNumberFormat="1" applyBorder="1" applyAlignment="1">
      <alignment horizontal="center" vertical="center" wrapText="1"/>
    </xf>
    <xf numFmtId="43" fontId="0" fillId="0" borderId="21" xfId="0" applyNumberForma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right" vertical="top" wrapText="1"/>
    </xf>
    <xf numFmtId="43" fontId="0" fillId="0" borderId="14" xfId="0" applyNumberFormat="1" applyBorder="1" applyAlignment="1">
      <alignment horizontal="right" vertical="top" wrapText="1"/>
    </xf>
    <xf numFmtId="0" fontId="38" fillId="0" borderId="49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3" fontId="0" fillId="0" borderId="19" xfId="0" applyNumberFormat="1" applyFont="1" applyFill="1" applyBorder="1" applyAlignment="1">
      <alignment horizontal="center" vertical="center" wrapText="1"/>
    </xf>
    <xf numFmtId="38" fontId="38" fillId="0" borderId="73" xfId="0" applyNumberFormat="1" applyFont="1" applyFill="1" applyBorder="1" applyAlignment="1">
      <alignment horizontal="center"/>
    </xf>
    <xf numFmtId="0" fontId="38" fillId="0" borderId="74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4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17" fillId="0" borderId="31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38" fontId="19" fillId="0" borderId="31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9" fillId="0" borderId="0" xfId="0" applyFont="1" applyBorder="1" applyAlignment="1">
      <alignment horizontal="justify" wrapText="1"/>
    </xf>
    <xf numFmtId="167" fontId="19" fillId="0" borderId="0" xfId="0" applyNumberFormat="1" applyFont="1" applyBorder="1" applyAlignment="1">
      <alignment horizontal="right" wrapText="1"/>
    </xf>
    <xf numFmtId="0" fontId="20" fillId="0" borderId="2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38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justify" wrapText="1"/>
    </xf>
    <xf numFmtId="0" fontId="25" fillId="0" borderId="75" xfId="0" applyFont="1" applyBorder="1" applyAlignment="1">
      <alignment horizontal="center" vertical="top" wrapText="1"/>
    </xf>
    <xf numFmtId="0" fontId="25" fillId="0" borderId="76" xfId="0" applyFont="1" applyBorder="1" applyAlignment="1">
      <alignment horizontal="center" vertical="top" wrapText="1"/>
    </xf>
    <xf numFmtId="0" fontId="26" fillId="39" borderId="77" xfId="0" applyFont="1" applyFill="1" applyBorder="1" applyAlignment="1">
      <alignment horizontal="center" vertical="top" wrapText="1"/>
    </xf>
    <xf numFmtId="0" fontId="26" fillId="39" borderId="78" xfId="0" applyFont="1" applyFill="1" applyBorder="1" applyAlignment="1">
      <alignment horizontal="center" vertical="top" wrapText="1"/>
    </xf>
    <xf numFmtId="0" fontId="26" fillId="39" borderId="79" xfId="0" applyFont="1" applyFill="1" applyBorder="1" applyAlignment="1">
      <alignment horizontal="center" vertical="top" wrapText="1"/>
    </xf>
    <xf numFmtId="0" fontId="26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54" xfId="0" applyBorder="1" applyAlignment="1">
      <alignment/>
    </xf>
    <xf numFmtId="0" fontId="26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26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26" fillId="39" borderId="75" xfId="0" applyFont="1" applyFill="1" applyBorder="1" applyAlignment="1">
      <alignment horizontal="center" vertical="top" wrapText="1"/>
    </xf>
    <xf numFmtId="0" fontId="26" fillId="39" borderId="80" xfId="0" applyFont="1" applyFill="1" applyBorder="1" applyAlignment="1">
      <alignment horizontal="center" vertical="top" wrapText="1"/>
    </xf>
    <xf numFmtId="0" fontId="26" fillId="39" borderId="76" xfId="0" applyFont="1" applyFill="1" applyBorder="1" applyAlignment="1">
      <alignment horizontal="center" vertical="top" wrapText="1"/>
    </xf>
    <xf numFmtId="0" fontId="26" fillId="39" borderId="75" xfId="0" applyFont="1" applyFill="1" applyBorder="1" applyAlignment="1">
      <alignment vertical="top" wrapText="1"/>
    </xf>
    <xf numFmtId="0" fontId="26" fillId="39" borderId="80" xfId="0" applyFont="1" applyFill="1" applyBorder="1" applyAlignment="1">
      <alignment vertical="top" wrapText="1"/>
    </xf>
    <xf numFmtId="0" fontId="26" fillId="39" borderId="76" xfId="0" applyFont="1" applyFill="1" applyBorder="1" applyAlignment="1">
      <alignment vertical="top" wrapText="1"/>
    </xf>
    <xf numFmtId="0" fontId="0" fillId="0" borderId="77" xfId="0" applyFont="1" applyBorder="1" applyAlignment="1">
      <alignment wrapText="1"/>
    </xf>
    <xf numFmtId="0" fontId="0" fillId="0" borderId="79" xfId="0" applyFont="1" applyBorder="1" applyAlignment="1">
      <alignment wrapText="1"/>
    </xf>
    <xf numFmtId="171" fontId="0" fillId="0" borderId="77" xfId="0" applyNumberFormat="1" applyFont="1" applyBorder="1" applyAlignment="1">
      <alignment horizontal="right" wrapText="1"/>
    </xf>
    <xf numFmtId="171" fontId="0" fillId="0" borderId="78" xfId="0" applyNumberFormat="1" applyFont="1" applyBorder="1" applyAlignment="1">
      <alignment horizontal="right" wrapText="1"/>
    </xf>
    <xf numFmtId="171" fontId="0" fillId="0" borderId="79" xfId="0" applyNumberFormat="1" applyFont="1" applyBorder="1" applyAlignment="1">
      <alignment horizontal="right" wrapText="1"/>
    </xf>
    <xf numFmtId="0" fontId="9" fillId="0" borderId="77" xfId="0" applyFont="1" applyBorder="1" applyAlignment="1">
      <alignment horizontal="center" wrapText="1"/>
    </xf>
    <xf numFmtId="0" fontId="9" fillId="0" borderId="78" xfId="0" applyFont="1" applyBorder="1" applyAlignment="1">
      <alignment horizontal="center" wrapText="1"/>
    </xf>
    <xf numFmtId="0" fontId="9" fillId="0" borderId="79" xfId="0" applyFont="1" applyBorder="1" applyAlignment="1">
      <alignment horizontal="center" wrapText="1"/>
    </xf>
    <xf numFmtId="171" fontId="0" fillId="0" borderId="77" xfId="0" applyNumberFormat="1" applyFont="1" applyBorder="1" applyAlignment="1">
      <alignment horizontal="center" wrapText="1"/>
    </xf>
    <xf numFmtId="171" fontId="0" fillId="0" borderId="78" xfId="0" applyNumberFormat="1" applyFont="1" applyBorder="1" applyAlignment="1">
      <alignment horizontal="center" wrapText="1"/>
    </xf>
    <xf numFmtId="171" fontId="0" fillId="0" borderId="79" xfId="0" applyNumberFormat="1" applyFont="1" applyBorder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0" fontId="9" fillId="0" borderId="76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9" fillId="0" borderId="74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73" xfId="0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9" fillId="0" borderId="4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41" borderId="0" xfId="0" applyFill="1" applyBorder="1" applyAlignment="1">
      <alignment/>
    </xf>
    <xf numFmtId="0" fontId="0" fillId="41" borderId="81" xfId="0" applyFill="1" applyBorder="1" applyAlignment="1">
      <alignment/>
    </xf>
    <xf numFmtId="0" fontId="0" fillId="41" borderId="82" xfId="0" applyFill="1" applyBorder="1" applyAlignment="1">
      <alignment/>
    </xf>
    <xf numFmtId="0" fontId="0" fillId="41" borderId="83" xfId="0" applyFill="1" applyBorder="1" applyAlignment="1">
      <alignment/>
    </xf>
    <xf numFmtId="0" fontId="0" fillId="41" borderId="84" xfId="0" applyFill="1" applyBorder="1" applyAlignment="1">
      <alignment/>
    </xf>
    <xf numFmtId="0" fontId="0" fillId="41" borderId="85" xfId="0" applyFill="1" applyBorder="1" applyAlignment="1">
      <alignment/>
    </xf>
    <xf numFmtId="0" fontId="79" fillId="41" borderId="84" xfId="0" applyFont="1" applyFill="1" applyBorder="1" applyAlignment="1">
      <alignment horizontal="center"/>
    </xf>
    <xf numFmtId="0" fontId="79" fillId="41" borderId="0" xfId="0" applyFont="1" applyFill="1" applyBorder="1" applyAlignment="1">
      <alignment horizontal="center"/>
    </xf>
    <xf numFmtId="0" fontId="79" fillId="41" borderId="85" xfId="0" applyFont="1" applyFill="1" applyBorder="1" applyAlignment="1">
      <alignment horizontal="center"/>
    </xf>
    <xf numFmtId="0" fontId="80" fillId="41" borderId="84" xfId="0" applyFont="1" applyFill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0" fillId="41" borderId="85" xfId="0" applyFont="1" applyFill="1" applyBorder="1" applyAlignment="1">
      <alignment horizontal="center"/>
    </xf>
    <xf numFmtId="0" fontId="81" fillId="41" borderId="84" xfId="0" applyFont="1" applyFill="1" applyBorder="1" applyAlignment="1">
      <alignment horizontal="center"/>
    </xf>
    <xf numFmtId="0" fontId="81" fillId="41" borderId="0" xfId="0" applyFont="1" applyFill="1" applyBorder="1" applyAlignment="1">
      <alignment horizontal="center"/>
    </xf>
    <xf numFmtId="0" fontId="81" fillId="41" borderId="85" xfId="0" applyFont="1" applyFill="1" applyBorder="1" applyAlignment="1">
      <alignment horizontal="center"/>
    </xf>
    <xf numFmtId="0" fontId="0" fillId="41" borderId="84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86" xfId="0" applyFill="1" applyBorder="1" applyAlignment="1">
      <alignment/>
    </xf>
    <xf numFmtId="0" fontId="0" fillId="41" borderId="87" xfId="0" applyFill="1" applyBorder="1" applyAlignment="1">
      <alignment/>
    </xf>
    <xf numFmtId="0" fontId="0" fillId="41" borderId="88" xfId="0" applyFill="1" applyBorder="1" applyAlignment="1">
      <alignment/>
    </xf>
    <xf numFmtId="0" fontId="0" fillId="41" borderId="84" xfId="0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3</xdr:row>
      <xdr:rowOff>152400</xdr:rowOff>
    </xdr:from>
    <xdr:to>
      <xdr:col>8</xdr:col>
      <xdr:colOff>438150</xdr:colOff>
      <xdr:row>14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7700"/>
          <a:ext cx="2533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75</xdr:row>
      <xdr:rowOff>19050</xdr:rowOff>
    </xdr:from>
    <xdr:to>
      <xdr:col>6</xdr:col>
      <xdr:colOff>809625</xdr:colOff>
      <xdr:row>91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8575" y="10734675"/>
          <a:ext cx="66675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4°, § 2°, inciso IV, alínea “a”, da Lei de Responsabilidade Fiscal – LRF, o qual determina que o Anexo de Metas Fiscais conterá a avaliação da situação financeira e atuarial do Regime Próprio de Previdência dos Servidores – RPPS.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acima apresentados tem como base o Anexo V – Demonstrativo das Receitas e Despesas Previdenciárias do Regime Próprio de Previdência dos Servidores, publicado no Relatório Resumido de Execução Orçamentária – RREO do último bimestre dos exercícios financeiros de 2014, 2015 e 2016, respectivamente.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os resultados da avaliação atuarial foram apresentados conforme o Anexo XIII – Demonstrativo da Projeção Atuarial do Regime Próprio dos Servidores, publicado no RREO do último bimestre dos exercícios de 2016.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5105400"/>
          <a:ext cx="5791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§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Conforme os arts. 13, 54 e 55 do Projeto de Lei das Diretrizes Orçamentárias, a estimativa de renúncia de receita deverá estar inserida na metodologia de cálculo da projeção da arrecadação efetiva dos tributos municipais.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Dessa forma, fica observado o atendimento do disposto no art. 14, I, da LRF, o qual determina que a renúncia deve ser considerada na estimativa de receita da lei orçamentária e de que não afetará as metas de resultados fiscais.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85725</xdr:rowOff>
    </xdr:from>
    <xdr:to>
      <xdr:col>1</xdr:col>
      <xdr:colOff>2847975</xdr:colOff>
      <xdr:row>47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23825" y="4810125"/>
          <a:ext cx="58197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§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Desse modo, para estimar o aumento permanente das receitas em 2017 considerou-se o incremento real, ou seja, a diferença entre os valores estimados a preços constantes das receitas  trbutárias e de transferências correntes, no biênio 2016-2017.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mesma linha, o aumento permandente das despesas de caráter obrigatório que terão impacto em 2017, foi calculado pela diferença a valores constantes, observada no biênio 2016-2017 nos grupos de natureza de despesa "Pessoal" e "Outras Despesas Correntes", chegando-se, assim, ao saldo da margem líquida de expansão.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3324225"/>
          <a:ext cx="5038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2017, adequar-se-ão às receitas do Município.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133350</xdr:rowOff>
    </xdr:from>
    <xdr:to>
      <xdr:col>3</xdr:col>
      <xdr:colOff>857250</xdr:colOff>
      <xdr:row>32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61925" y="4343400"/>
          <a:ext cx="6791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§ 3º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6</xdr:col>
      <xdr:colOff>933450</xdr:colOff>
      <xdr:row>24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61925" y="2771775"/>
          <a:ext cx="9467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fontes de receitas e/ou grupo de natureza de despesa, conforme especificações das tabelas a seguir:</a:t>
          </a:r>
        </a:p>
      </xdr:txBody>
    </xdr:sp>
    <xdr:clientData/>
  </xdr:twoCellAnchor>
  <xdr:twoCellAnchor>
    <xdr:from>
      <xdr:col>0</xdr:col>
      <xdr:colOff>1752600</xdr:colOff>
      <xdr:row>24</xdr:row>
      <xdr:rowOff>123825</xdr:rowOff>
    </xdr:from>
    <xdr:to>
      <xdr:col>5</xdr:col>
      <xdr:colOff>952500</xdr:colOff>
      <xdr:row>43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276600"/>
          <a:ext cx="68389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1695450</xdr:colOff>
      <xdr:row>44</xdr:row>
      <xdr:rowOff>0</xdr:rowOff>
    </xdr:from>
    <xdr:to>
      <xdr:col>6</xdr:col>
      <xdr:colOff>381000</xdr:colOff>
      <xdr:row>58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6791325"/>
          <a:ext cx="73818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42</xdr:row>
      <xdr:rowOff>142875</xdr:rowOff>
    </xdr:from>
    <xdr:to>
      <xdr:col>6</xdr:col>
      <xdr:colOff>314325</xdr:colOff>
      <xdr:row>42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971675" y="66294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19050</xdr:rowOff>
    </xdr:from>
    <xdr:to>
      <xdr:col>6</xdr:col>
      <xdr:colOff>381000</xdr:colOff>
      <xdr:row>57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9067800" y="6810375"/>
          <a:ext cx="95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0</xdr:rowOff>
    </xdr:from>
    <xdr:to>
      <xdr:col>6</xdr:col>
      <xdr:colOff>485775</xdr:colOff>
      <xdr:row>39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342900" y="4391025"/>
          <a:ext cx="84677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 Nominal –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a diferença entre o saldo da dívida fiscal líquida em 31 de dezembro de determinado ano em relação ao apurado em 31 de dezembro do ano anterior.
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152400</xdr:rowOff>
    </xdr:from>
    <xdr:to>
      <xdr:col>10</xdr:col>
      <xdr:colOff>0</xdr:colOff>
      <xdr:row>89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200025" y="4943475"/>
          <a:ext cx="9944100" cy="1057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§ 1º da LRF.
</a:t>
          </a:r>
          <a:r>
            <a:rPr lang="en-US" cap="none" sz="1100" b="0" i="0" u="none" baseline="0">
              <a:solidFill>
                <a:srgbClr val="000000"/>
              </a:solidFill>
            </a:rPr>
            <a:t>Para melhor entendimento, cabem aqui os seguintes conceitos:
</a:t>
          </a:r>
          <a:r>
            <a:rPr lang="en-US" cap="none" sz="1100" b="0" i="0" u="none" baseline="0">
              <a:solidFill>
                <a:srgbClr val="000000"/>
              </a:solidFill>
            </a:rPr>
            <a:t>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ativos;
</a:t>
          </a:r>
          <a:r>
            <a:rPr lang="en-US" cap="none" sz="1100" b="0" i="0" u="none" baseline="0">
              <a:solidFill>
                <a:srgbClr val="000000"/>
              </a:solidFill>
            </a:rPr>
            <a:t>2 – as despesas primárias correspondem ao total da despesa orçamentária deduzidas as despesas com juros e amortização da dívida, aquisição de títulos de capital integralizado e as despesas com concessão de empréstimos com retorno garantido. 
</a:t>
          </a:r>
          <a:r>
            <a:rPr lang="en-US" cap="none" sz="1100" b="0" i="0" u="none" baseline="0">
              <a:solidFill>
                <a:srgbClr val="000000"/>
              </a:solidFill>
            </a:rPr>
            <a:t>3 – o resultado primário corresponde à diferença entre as receitas primárias e despesas primárias evidenciando o esforço fiscal do Município;
</a:t>
          </a:r>
          <a:r>
            <a:rPr lang="en-US" cap="none" sz="1100" b="0" i="0" u="none" baseline="0">
              <a:solidFill>
                <a:srgbClr val="000000"/>
              </a:solidFill>
            </a:rPr>
            <a:t>4 – o resultado nominal representa a diferença entre o saldo previsto da dívida fiscal líquida em 31 de dezembro de determinado ano em relação ao apurado em 31 de dezembro do ano anterior;
</a:t>
          </a:r>
          <a:r>
            <a:rPr lang="en-US" cap="none" sz="1100" b="0" i="0" u="none" baseline="0">
              <a:solidFill>
                <a:srgbClr val="000000"/>
              </a:solidFill>
            </a:rPr>
            <a:t>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</a:t>
          </a:r>
          <a:r>
            <a:rPr lang="en-US" cap="none" sz="1100" b="0" i="0" u="none" baseline="0">
              <a:solidFill>
                <a:srgbClr val="000000"/>
              </a:solidFill>
            </a:rPr>
            <a:t>6 – a dívida Consolidada Líquida – DCL - corresponde à dívida pública consolidada, deduzidos os valores que compreendem o ativo disponível e os haveres financeiros, líquidos dos Restos a Pagar Processados.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Premissas e Metodologia UtilizadaS: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1 -</a:t>
          </a:r>
          <a:r>
            <a:rPr lang="en-US" cap="none" sz="1100" b="0" i="0" u="none" baseline="0">
              <a:solidFill>
                <a:srgbClr val="000000"/>
              </a:solidFill>
            </a:rPr>
            <a:t> Os parâmetros macroeconômicos utilizados na elaboração das estimativas constantes no Anexo de Metas Fiscais são relacionados na </a:t>
          </a:r>
          <a:r>
            <a:rPr lang="en-US" cap="none" sz="1100" b="1" i="0" u="none" baseline="0">
              <a:solidFill>
                <a:srgbClr val="000000"/>
              </a:solidFill>
            </a:rPr>
            <a:t>Tabela 01.</a:t>
          </a:r>
          <a:r>
            <a:rPr lang="en-US" cap="none" sz="1100" b="0" i="0" u="none" baseline="0">
              <a:solidFill>
                <a:srgbClr val="000000"/>
              </a:solidFill>
            </a:rPr>
            <a:t>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(2014, 2015 e 2016) e os valores reestimados para o exercício atual (2017),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
</a:t>
          </a:r>
          <a:r>
            <a:rPr lang="en-US" cap="none" sz="1100" b="1" i="0" u="none" baseline="0">
              <a:solidFill>
                <a:srgbClr val="000000"/>
              </a:solidFill>
            </a:rPr>
            <a:t>2 -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</a:t>
          </a:r>
          <a:r>
            <a:rPr lang="en-US" cap="none" sz="1100" b="1" i="0" u="none" baseline="0">
              <a:solidFill>
                <a:srgbClr val="000000"/>
              </a:solidFill>
            </a:rPr>
            <a:t>Anexo IV.</a:t>
          </a:r>
          <a:r>
            <a:rPr lang="en-US" cap="none" sz="1100" b="0" i="0" u="none" baseline="0">
              <a:solidFill>
                <a:srgbClr val="000000"/>
              </a:solidFill>
            </a:rPr>
            <a:t>  Asseguraram-se, ainda, os recursos para pagamento das obrigações decorrentes de juros e amortização da dívida pública.
</a:t>
          </a:r>
          <a:r>
            <a:rPr lang="en-US" cap="none" sz="1100" b="1" i="0" u="none" baseline="0">
              <a:solidFill>
                <a:srgbClr val="000000"/>
              </a:solidFill>
            </a:rPr>
            <a:t>3 –</a:t>
          </a:r>
          <a:r>
            <a:rPr lang="en-US" cap="none" sz="1100" b="0" i="0" u="none" baseline="0">
              <a:solidFill>
                <a:srgbClr val="000000"/>
              </a:solidFill>
            </a:rPr>
            <a:t> No tocante às despesas com pessoal, em específico, foi considerado o provável efeito da revisão geral anual prevista na Constituição da República, o crescimento vegetativo da folha salarial e eventual aumento acima dos níveis inflacionários.
</a:t>
          </a:r>
          <a:r>
            <a:rPr lang="en-US" cap="none" sz="1100" b="1" i="0" u="none" baseline="0">
              <a:solidFill>
                <a:srgbClr val="000000"/>
              </a:solidFill>
            </a:rPr>
            <a:t>4 -</a:t>
          </a:r>
          <a:r>
            <a:rPr lang="en-US" cap="none" sz="1100" b="0" i="0" u="none" baseline="0">
              <a:solidFill>
                <a:srgbClr val="000000"/>
              </a:solidFill>
            </a:rPr>
            <a:t>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2018, 2019 e 2020, considerou-se um crescimento do Produto Interno Bruto nacional de  2,17 %,  2,53 % e  2,48% e das taxas de inflação (IPCA), de  4,25%,  4,26 % e  4,16%, respectivamente, cujas projeções decorrem do sistema de expectativa de mercado, segundo informações do sítio do Banco Central do Brasil, verificadas em 20/06/2017.
</a:t>
          </a:r>
          <a:r>
            <a:rPr lang="en-US" cap="none" sz="1100" b="1" i="0" u="none" baseline="0">
              <a:solidFill>
                <a:srgbClr val="000000"/>
              </a:solidFill>
            </a:rPr>
            <a:t>5 -</a:t>
          </a:r>
          <a:r>
            <a:rPr lang="en-US" cap="none" sz="1100" b="0" i="0" u="none" baseline="0">
              <a:solidFill>
                <a:srgbClr val="000000"/>
              </a:solidFill>
            </a:rPr>
            <a:t> Outro ponto importante a ser destacado é que a receita do Município, conforme estabelece o § 3º, do art. 1º da Lei Complementar nº 101/00, compreende as receitas de todos os órgãos da Administração Pública Municipal, inclusive as receitas intraorçamentárias.
</a:t>
          </a:r>
          <a:r>
            <a:rPr lang="en-US" cap="none" sz="1100" b="1" i="0" u="none" baseline="0">
              <a:solidFill>
                <a:srgbClr val="000000"/>
              </a:solidFill>
            </a:rPr>
            <a:t>6 -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ao cálculo do Resultado Primário e do Resultado Nominal, considerou a metodologia estabelecida na Portaria STN nº 553/2014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2018. O resultado nominal reflete a variação do endividamento fiscal líquido entre as datas referidas.
</a:t>
          </a:r>
          <a:r>
            <a:rPr lang="en-US" cap="none" sz="1100" b="1" i="0" u="none" baseline="0">
              <a:solidFill>
                <a:srgbClr val="000000"/>
              </a:solidFill>
            </a:rPr>
            <a:t>7 -</a:t>
          </a:r>
          <a:r>
            <a:rPr lang="en-US" cap="none" sz="1100" b="0" i="0" u="none" baseline="0">
              <a:solidFill>
                <a:srgbClr val="000000"/>
              </a:solidFill>
            </a:rPr>
            <a:t> Na estimativa do montante da dívida consolidada, utilizou-se, como parâmetros a previsão de taxa de juros SELIC, segundo informações do sítio do Banco Central do Brasil, verificadas em 20/06/2017.  
</a:t>
          </a:r>
          <a:r>
            <a:rPr lang="en-US" cap="none" sz="1100" b="1" i="0" u="none" baseline="0">
              <a:solidFill>
                <a:srgbClr val="000000"/>
              </a:solidFill>
            </a:rPr>
            <a:t>8 -</a:t>
          </a:r>
          <a:r>
            <a:rPr lang="en-US" cap="none" sz="1100" b="0" i="0" u="none" baseline="0">
              <a:solidFill>
                <a:srgbClr val="000000"/>
              </a:solidFill>
            </a:rPr>
            <a:t> Já na apuração do montante da dívida líquida, os valores das Disponibilidades Financeiras foram calculados levando-se em consideração a estimativa da posição em 31/12/2017, projetando-se os valores futuros com base nos percentuais médios dos valores realizados no ano anterior.
</a:t>
          </a:r>
          <a:r>
            <a:rPr lang="en-US" cap="none" sz="1100" b="1" i="0" u="none" baseline="0">
              <a:solidFill>
                <a:srgbClr val="000000"/>
              </a:solidFill>
            </a:rPr>
            <a:t>9 -</a:t>
          </a:r>
          <a:r>
            <a:rPr lang="en-US" cap="none" sz="1100" b="0" i="0" u="none" baseline="0">
              <a:solidFill>
                <a:srgbClr val="000000"/>
              </a:solidFill>
            </a:rPr>
            <a:t> Isso posto, podemos elencar, a partir da leitura das projeções estabelecidas, os números mais representativos no contexto das projeções:
</a:t>
          </a:r>
          <a:r>
            <a:rPr lang="en-US" cap="none" sz="1100" b="1" i="0" u="none" baseline="0">
              <a:solidFill>
                <a:srgbClr val="000000"/>
              </a:solidFill>
            </a:rPr>
            <a:t>9.1 -</a:t>
          </a:r>
          <a:r>
            <a:rPr lang="en-US" cap="none" sz="1100" b="0" i="0" u="none" baseline="0">
              <a:solidFill>
                <a:srgbClr val="000000"/>
              </a:solidFill>
            </a:rPr>
            <a:t> A receita total estimada para o exercício de 2018, consideradas todas as fontes de recursos é de R$ 26.023.137,15, a preços correntes que, deduzidas das receitas financeiras, representadas pelos Rendimentos das Aplicações Financeiras (R$ 3.274.625,95), das resultantes de Operações de Crédito (R$  0,00), das Alienações de Bens (R$ 71.731,19) e das resultantes de Amortização de Empréstimos Concedidos (R$ 0,00), resultam numa Receita Primária de R$  22.475.774,00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</a:rPr>
            <a:t>9.2 -</a:t>
          </a:r>
          <a:r>
            <a:rPr lang="en-US" cap="none" sz="1100" b="0" i="0" u="none" baseline="0">
              <a:solidFill>
                <a:srgbClr val="000000"/>
              </a:solidFill>
            </a:rPr>
            <a:t>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    R$ </a:t>
          </a:r>
          <a:r>
            <a:rPr lang="en-US" cap="none" sz="1100" b="0" i="0" u="none" baseline="0">
              <a:solidFill>
                <a:srgbClr val="000000"/>
              </a:solidFill>
            </a:rPr>
            <a:t> 26.023.137,15.</a:t>
          </a:r>
          <a:r>
            <a:rPr lang="en-US" cap="none" sz="1100" b="0" i="0" u="none" baseline="0">
              <a:solidFill>
                <a:srgbClr val="000000"/>
              </a:solidFill>
            </a:rPr>
            <a:t> Deduzindo-se as despesas financeiras com juros e encargos da dívida, estimadas em R$  12.009,21, mais as despesas com Concessão de Empréstimos e Financiamentos, no valor de R$ 0,00 e a Amortização da Dívida Publica, estimada em R$  205.384,56, tem-se que as despesas primárias para 2018 foram previstas em R$  24.753.711,00.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00025" y="3362325"/>
          <a:ext cx="91249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00025" y="3457575"/>
          <a:ext cx="94488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 acima identificados, representam as metas de receitas, despesas e resultado primário do Tesouro Municipal  (Excetuadas as receitas e despesas previdenciárias).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metodologia e os conceitos são idênticos aos utilizados para a elaboração do anexo de metas fiscais consolidado.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1060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(2018), em comparação com as estabelecidas para os três exercícios anteriores  (2015, 2016 e 2017), bem como para os três seguintes (2018, 2019 e 2020), referentes à Receita Total, Receitas Não Financeiras, Despesas Não Financeiras, Resultado Primário, Resultado Nominal, Dívida Pública Consolidada e Dívida Consolidada Líquida, cumprindo, assim,  a disposição contida no art. 4º, § 2º, inciso 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relativos às previsões de Receitas, Despesas e Resultado Primário de 2015, 2016 e 2017 foram extraídos das respectivas Leis Orçamentárias Anuais. Já os valores da previsão do Resultado Nominal, Dívida Consolidada e Dívida Consolidada Líquida, foram extraídos dos respectivos anexos de metas fiscais.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em relação às previsões para os exercícios de 2018, 2019 e 2020,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28575</xdr:rowOff>
    </xdr:from>
    <xdr:to>
      <xdr:col>6</xdr:col>
      <xdr:colOff>552450</xdr:colOff>
      <xdr:row>47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42875" y="5524500"/>
          <a:ext cx="6924675" cy="3143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(2014, 2015 e 2016), cumprindo, dessa forma, o disposto no art. 4º, § 2º, inciso III,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Nesse sentido, é preciso enfatizar que o Município segue as normas da Lei 4.320/64, não apresentando no seu balanço as nomenclaturas previstas na Lei 6.404/76. Assim, em vez de "Resultado Acumulado", o Município utiliza a nomenclatura de "Superávit ou Déficit do Exercício".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termos consolidados, a evolução do Patrimônio Líquido do Município, nos últimos três exercícios, demonstrada para o período de 2014 a 2016, aponta que o saldo patrimonial aumentou de R$  11.336.327,49 em 31.12.2014 para R$ 41.653.720,79 em 31.12.2016.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30</xdr:row>
      <xdr:rowOff>28575</xdr:rowOff>
    </xdr:from>
    <xdr:to>
      <xdr:col>3</xdr:col>
      <xdr:colOff>600075</xdr:colOff>
      <xdr:row>38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57175" y="5838825"/>
          <a:ext cx="62007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(2014,  2015 e 2016).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60" zoomScalePageLayoutView="0" workbookViewId="0" topLeftCell="A1">
      <selection activeCell="A23" sqref="A23"/>
    </sheetView>
  </sheetViews>
  <sheetFormatPr defaultColWidth="9.140625" defaultRowHeight="12.75"/>
  <cols>
    <col min="1" max="16384" width="9.140625" style="648" customWidth="1"/>
  </cols>
  <sheetData>
    <row r="1" spans="1:13" ht="13.5" thickTop="1">
      <c r="A1" s="649"/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1"/>
    </row>
    <row r="2" spans="1:13" ht="12.75">
      <c r="A2" s="652"/>
      <c r="M2" s="653"/>
    </row>
    <row r="3" spans="1:13" ht="12.75">
      <c r="A3" s="652"/>
      <c r="M3" s="653"/>
    </row>
    <row r="4" spans="1:13" ht="12.75">
      <c r="A4" s="652"/>
      <c r="M4" s="653"/>
    </row>
    <row r="5" spans="1:13" ht="12.75">
      <c r="A5" s="652"/>
      <c r="M5" s="653"/>
    </row>
    <row r="6" spans="1:13" ht="12.75">
      <c r="A6" s="652"/>
      <c r="M6" s="653"/>
    </row>
    <row r="7" spans="1:13" ht="12.75">
      <c r="A7" s="652"/>
      <c r="M7" s="653"/>
    </row>
    <row r="8" spans="1:13" ht="12.75">
      <c r="A8" s="652"/>
      <c r="M8" s="653"/>
    </row>
    <row r="9" spans="1:13" ht="12.75">
      <c r="A9" s="652"/>
      <c r="M9" s="653"/>
    </row>
    <row r="10" spans="1:13" ht="12.75">
      <c r="A10" s="652"/>
      <c r="M10" s="653"/>
    </row>
    <row r="11" spans="1:13" ht="12.75">
      <c r="A11" s="652"/>
      <c r="M11" s="653"/>
    </row>
    <row r="12" spans="1:13" ht="12.75">
      <c r="A12" s="652"/>
      <c r="M12" s="653"/>
    </row>
    <row r="13" spans="1:13" ht="12.75">
      <c r="A13" s="652"/>
      <c r="M13" s="653"/>
    </row>
    <row r="14" spans="1:13" ht="12.75">
      <c r="A14" s="652"/>
      <c r="M14" s="653"/>
    </row>
    <row r="15" spans="1:13" ht="12.75">
      <c r="A15" s="652"/>
      <c r="M15" s="653"/>
    </row>
    <row r="16" spans="1:13" ht="12.75">
      <c r="A16" s="652"/>
      <c r="M16" s="653"/>
    </row>
    <row r="17" spans="1:13" ht="12.75">
      <c r="A17" s="652"/>
      <c r="M17" s="653"/>
    </row>
    <row r="18" spans="1:13" ht="12.75">
      <c r="A18" s="652"/>
      <c r="M18" s="653"/>
    </row>
    <row r="19" spans="1:13" ht="23.25">
      <c r="A19" s="654" t="s">
        <v>421</v>
      </c>
      <c r="B19" s="655"/>
      <c r="C19" s="655"/>
      <c r="D19" s="655"/>
      <c r="E19" s="655"/>
      <c r="F19" s="655"/>
      <c r="G19" s="655"/>
      <c r="H19" s="655"/>
      <c r="I19" s="655"/>
      <c r="J19" s="655"/>
      <c r="K19" s="655"/>
      <c r="L19" s="655"/>
      <c r="M19" s="656"/>
    </row>
    <row r="20" spans="1:13" ht="12.75">
      <c r="A20" s="652"/>
      <c r="M20" s="653"/>
    </row>
    <row r="21" spans="1:13" ht="12.75">
      <c r="A21" s="652"/>
      <c r="M21" s="653"/>
    </row>
    <row r="22" spans="1:13" ht="26.25">
      <c r="A22" s="657" t="s">
        <v>423</v>
      </c>
      <c r="B22" s="658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9"/>
    </row>
    <row r="23" spans="1:13" ht="12.75">
      <c r="A23" s="668"/>
      <c r="M23" s="653"/>
    </row>
    <row r="24" spans="1:13" ht="12.75">
      <c r="A24" s="652"/>
      <c r="M24" s="653"/>
    </row>
    <row r="25" spans="1:13" ht="15.75">
      <c r="A25" s="660" t="s">
        <v>422</v>
      </c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</row>
    <row r="26" spans="1:13" ht="12.75">
      <c r="A26" s="652"/>
      <c r="M26" s="653"/>
    </row>
    <row r="27" spans="1:13" ht="12.75">
      <c r="A27" s="663"/>
      <c r="B27" s="664"/>
      <c r="C27" s="664"/>
      <c r="D27" s="664"/>
      <c r="E27" s="664"/>
      <c r="F27" s="664"/>
      <c r="G27" s="664"/>
      <c r="H27" s="664"/>
      <c r="M27" s="653"/>
    </row>
    <row r="28" spans="1:13" ht="12.75">
      <c r="A28" s="663"/>
      <c r="B28" s="664"/>
      <c r="C28" s="664"/>
      <c r="D28" s="664"/>
      <c r="E28" s="664"/>
      <c r="F28" s="664"/>
      <c r="G28" s="664"/>
      <c r="H28" s="664"/>
      <c r="M28" s="653"/>
    </row>
    <row r="29" spans="1:13" ht="13.5" thickBot="1">
      <c r="A29" s="665"/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7"/>
    </row>
    <row r="30" ht="13.5" thickTop="1"/>
  </sheetData>
  <sheetProtection/>
  <mergeCells count="5">
    <mergeCell ref="A19:M19"/>
    <mergeCell ref="A22:M22"/>
    <mergeCell ref="A25:M25"/>
    <mergeCell ref="A27:H27"/>
    <mergeCell ref="A28:H28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L31"/>
  <sheetViews>
    <sheetView view="pageBreakPreview" zoomScaleSheetLayoutView="100" zoomScalePageLayoutView="0" workbookViewId="0" topLeftCell="A16">
      <selection activeCell="A5" sqref="A5:L5"/>
    </sheetView>
  </sheetViews>
  <sheetFormatPr defaultColWidth="9.140625" defaultRowHeight="12.75"/>
  <cols>
    <col min="1" max="1" width="25.28125" style="34" customWidth="1"/>
    <col min="2" max="2" width="14.28125" style="34" customWidth="1"/>
    <col min="3" max="3" width="14.7109375" style="34" customWidth="1"/>
    <col min="4" max="4" width="10.28125" style="34" customWidth="1"/>
    <col min="5" max="5" width="14.28125" style="34" customWidth="1"/>
    <col min="6" max="6" width="10.28125" style="34" customWidth="1"/>
    <col min="7" max="7" width="14.140625" style="34" customWidth="1"/>
    <col min="8" max="8" width="11.00390625" style="34" customWidth="1"/>
    <col min="9" max="9" width="13.140625" style="34" customWidth="1"/>
    <col min="10" max="10" width="10.7109375" style="34" customWidth="1"/>
    <col min="11" max="11" width="12.8515625" style="34" customWidth="1"/>
    <col min="12" max="12" width="10.28125" style="34" customWidth="1"/>
    <col min="13" max="16384" width="9.140625" style="34" customWidth="1"/>
  </cols>
  <sheetData>
    <row r="1" spans="1:12" ht="12.75" customHeight="1">
      <c r="A1" s="454" t="str">
        <f>Parâmetros!A7</f>
        <v>Município de : Boqueirão do Leão - RS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50"/>
    </row>
    <row r="2" spans="1:12" ht="12.75">
      <c r="A2" s="448" t="s">
        <v>416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50"/>
    </row>
    <row r="3" spans="1:12" ht="12.7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50"/>
    </row>
    <row r="4" spans="1:12" ht="12.75">
      <c r="A4" s="471" t="s">
        <v>183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3"/>
    </row>
    <row r="5" spans="1:12" ht="12.75">
      <c r="A5" s="448" t="s">
        <v>406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50"/>
    </row>
    <row r="6" spans="1:12" ht="12.75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6"/>
    </row>
    <row r="7" spans="1:12" ht="12.75">
      <c r="A7" s="469" t="s">
        <v>290</v>
      </c>
      <c r="B7" s="470"/>
      <c r="C7" s="188"/>
      <c r="D7" s="188"/>
      <c r="E7" s="188"/>
      <c r="F7" s="188"/>
      <c r="G7" s="188"/>
      <c r="H7" s="188"/>
      <c r="I7" s="188"/>
      <c r="J7" s="188"/>
      <c r="K7" s="188"/>
      <c r="L7" s="189">
        <v>1</v>
      </c>
    </row>
    <row r="8" spans="1:12" ht="15.75" customHeight="1">
      <c r="A8" s="162" t="s">
        <v>97</v>
      </c>
      <c r="B8" s="464" t="s">
        <v>120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36" customFormat="1" ht="15.75" customHeight="1">
      <c r="A9" s="465"/>
      <c r="B9" s="467">
        <v>2015</v>
      </c>
      <c r="C9" s="467">
        <f>B9+1</f>
        <v>2016</v>
      </c>
      <c r="D9" s="467" t="s">
        <v>173</v>
      </c>
      <c r="E9" s="467">
        <f>C9+1</f>
        <v>2017</v>
      </c>
      <c r="F9" s="467" t="s">
        <v>173</v>
      </c>
      <c r="G9" s="458">
        <f>E9+1</f>
        <v>2018</v>
      </c>
      <c r="H9" s="458" t="s">
        <v>173</v>
      </c>
      <c r="I9" s="458">
        <f>G9+1</f>
        <v>2019</v>
      </c>
      <c r="J9" s="458" t="s">
        <v>174</v>
      </c>
      <c r="K9" s="458">
        <f>I9+1</f>
        <v>2020</v>
      </c>
      <c r="L9" s="461" t="s">
        <v>173</v>
      </c>
    </row>
    <row r="10" spans="1:12" s="36" customFormat="1" ht="15.75" customHeight="1">
      <c r="A10" s="466"/>
      <c r="B10" s="468"/>
      <c r="C10" s="468"/>
      <c r="D10" s="468"/>
      <c r="E10" s="468"/>
      <c r="F10" s="468"/>
      <c r="G10" s="459"/>
      <c r="H10" s="459"/>
      <c r="I10" s="459"/>
      <c r="J10" s="459"/>
      <c r="K10" s="459"/>
      <c r="L10" s="462"/>
    </row>
    <row r="11" spans="1:12" ht="12.75">
      <c r="A11" s="112" t="s">
        <v>121</v>
      </c>
      <c r="B11" s="190">
        <f>Plano!D62</f>
        <v>19086000</v>
      </c>
      <c r="C11" s="190">
        <f>Plano!E62</f>
        <v>19100000</v>
      </c>
      <c r="D11" s="191">
        <f aca="true" t="shared" si="0" ref="D11:D18">IF(B11=0,"0",(C11/B11)-1)</f>
        <v>0.0007335219532642601</v>
      </c>
      <c r="E11" s="190">
        <f>Plano!F62</f>
        <v>23628295.16</v>
      </c>
      <c r="F11" s="191">
        <f aca="true" t="shared" si="1" ref="F11:F18">IF(C11=0,"0",(E11/C11)-1)</f>
        <v>0.2370835162303666</v>
      </c>
      <c r="G11" s="192">
        <f>IF(Metas!B12=0,"0",(Metas!B12))</f>
        <v>26023137.154568966</v>
      </c>
      <c r="H11" s="193">
        <f>IF(E11=0,"0",(G11/E11)-1)</f>
        <v>0.10135483657844091</v>
      </c>
      <c r="I11" s="192">
        <f>IF(Metas!E12=0,"0",(Metas!E12))</f>
        <v>29432827.04926652</v>
      </c>
      <c r="J11" s="191">
        <f>IF(G11=0,"-",(I11/G11)-1)</f>
        <v>0.13102532083065577</v>
      </c>
      <c r="K11" s="192">
        <f>IF(Metas!H12=0,"0",(Metas!H12))</f>
        <v>32424222.62381206</v>
      </c>
      <c r="L11" s="191">
        <f>IF(I11=0,"-",(K11/I11)-1)</f>
        <v>0.1016346669498771</v>
      </c>
    </row>
    <row r="12" spans="1:12" ht="12.75">
      <c r="A12" s="112" t="s">
        <v>186</v>
      </c>
      <c r="B12" s="190">
        <f>B11-(Plano!D63+Plano!D64+Plano!D65+Plano!D66)</f>
        <v>16451574.629999999</v>
      </c>
      <c r="C12" s="190">
        <f>C11-(Plano!E63+Plano!E64+Plano!E65+Plano!E66)</f>
        <v>15841305.02</v>
      </c>
      <c r="D12" s="191">
        <f t="shared" si="0"/>
        <v>-0.037094905729397665</v>
      </c>
      <c r="E12" s="190">
        <f>E11-(Plano!F63+Plano!F64+Plano!F65+Plano!F66)</f>
        <v>20231105.64335</v>
      </c>
      <c r="F12" s="191">
        <f t="shared" si="1"/>
        <v>0.2771110472153513</v>
      </c>
      <c r="G12" s="192">
        <f>IF(Metas!B13=0,"0",(Metas!B13))</f>
        <v>22475774.396003507</v>
      </c>
      <c r="H12" s="193">
        <f aca="true" t="shared" si="2" ref="H12:H18">IF(E12=0,"0",(G12/E12)-1)</f>
        <v>0.11095136332261357</v>
      </c>
      <c r="I12" s="192">
        <f>IF(Metas!E13=0,"0",(Metas!E13))</f>
        <v>25727152.445615705</v>
      </c>
      <c r="J12" s="191">
        <f aca="true" t="shared" si="3" ref="J12:J18">IF(G12=0,"-",(I12/G12)-1)</f>
        <v>0.1446614471352914</v>
      </c>
      <c r="K12" s="192">
        <f>IF(Metas!H13=0,"0",(Metas!H13))</f>
        <v>28556860.740946364</v>
      </c>
      <c r="L12" s="191">
        <f aca="true" t="shared" si="4" ref="L12:L18">IF(I12=0,"-",(K12/I12)-1)</f>
        <v>0.1099891758838194</v>
      </c>
    </row>
    <row r="13" spans="1:12" ht="12.75">
      <c r="A13" s="112" t="s">
        <v>122</v>
      </c>
      <c r="B13" s="190">
        <f>Plano!D67</f>
        <v>19086000</v>
      </c>
      <c r="C13" s="190">
        <f>Plano!E67</f>
        <v>19100000</v>
      </c>
      <c r="D13" s="191">
        <f t="shared" si="0"/>
        <v>0.0007335219532642601</v>
      </c>
      <c r="E13" s="190">
        <f>Plano!F67</f>
        <v>23628295.16</v>
      </c>
      <c r="F13" s="191">
        <f t="shared" si="1"/>
        <v>0.2370835162303666</v>
      </c>
      <c r="G13" s="192">
        <f>IF(Metas!B14=0,"0",(Metas!B14))</f>
        <v>26023137.154568966</v>
      </c>
      <c r="H13" s="193">
        <f t="shared" si="2"/>
        <v>0.10135483657844091</v>
      </c>
      <c r="I13" s="192">
        <f>IF(Metas!E14=0,"0",(Metas!E14))</f>
        <v>29432827.04926652</v>
      </c>
      <c r="J13" s="191">
        <f t="shared" si="3"/>
        <v>0.13102532083065577</v>
      </c>
      <c r="K13" s="192">
        <f>IF(Metas!H14=0,"0",(Metas!H14))</f>
        <v>32424222.623812057</v>
      </c>
      <c r="L13" s="191">
        <f t="shared" si="4"/>
        <v>0.1016346669498771</v>
      </c>
    </row>
    <row r="14" spans="1:12" ht="12.75">
      <c r="A14" s="112" t="s">
        <v>177</v>
      </c>
      <c r="B14" s="190">
        <f>B13-(Plano!D68+Plano!D69+Plano!D70)</f>
        <v>18792948.49</v>
      </c>
      <c r="C14" s="190">
        <f>C13-(Plano!E68+Plano!E69+Plano!E70)</f>
        <v>18918977.45</v>
      </c>
      <c r="D14" s="191">
        <f t="shared" si="0"/>
        <v>0.006706183442532376</v>
      </c>
      <c r="E14" s="190">
        <f>E13-(Plano!F68+Plano!F69+Plano!F70)</f>
        <v>23439579.151625</v>
      </c>
      <c r="F14" s="191">
        <f t="shared" si="1"/>
        <v>0.23894535069732337</v>
      </c>
      <c r="G14" s="192">
        <f>IF(Metas!B15=0,"0",(Metas!B15))</f>
        <v>25805743.38977128</v>
      </c>
      <c r="H14" s="193">
        <f t="shared" si="2"/>
        <v>0.10094738573760775</v>
      </c>
      <c r="I14" s="192">
        <f>IF(Metas!E15=0,"0",(Metas!E15))</f>
        <v>29181240.288778868</v>
      </c>
      <c r="J14" s="191">
        <f t="shared" si="3"/>
        <v>0.13080409457785858</v>
      </c>
      <c r="K14" s="192">
        <f>IF(Metas!H15=0,"0",(Metas!H15))</f>
        <v>32133344.049418483</v>
      </c>
      <c r="L14" s="191">
        <f t="shared" si="4"/>
        <v>0.1011644375436227</v>
      </c>
    </row>
    <row r="15" spans="1:12" ht="12.75">
      <c r="A15" s="112" t="s">
        <v>123</v>
      </c>
      <c r="B15" s="190">
        <f>B12-B14</f>
        <v>-2341373.8599999994</v>
      </c>
      <c r="C15" s="190">
        <f>C12-C14</f>
        <v>-3077672.4299999997</v>
      </c>
      <c r="D15" s="191">
        <f t="shared" si="0"/>
        <v>0.3144728753399513</v>
      </c>
      <c r="E15" s="190">
        <f>E12-E14</f>
        <v>-3208473.5082749985</v>
      </c>
      <c r="F15" s="191">
        <f t="shared" si="1"/>
        <v>0.04249999999999954</v>
      </c>
      <c r="G15" s="192">
        <f>IF(Metas!B16=0,"0",(Metas!B16))</f>
        <v>-3329968.993767772</v>
      </c>
      <c r="H15" s="193">
        <f t="shared" si="2"/>
        <v>0.03786706830504394</v>
      </c>
      <c r="I15" s="192">
        <f>IF(Metas!E16=0,"0",(Metas!E16))</f>
        <v>-3454087.8431631625</v>
      </c>
      <c r="J15" s="191">
        <f t="shared" si="3"/>
        <v>0.0372732748045661</v>
      </c>
      <c r="K15" s="192">
        <f>IF(Metas!H16=0,"0",(Metas!H16))</f>
        <v>-3576483.3084721193</v>
      </c>
      <c r="L15" s="191">
        <f t="shared" si="4"/>
        <v>0.03543496021712933</v>
      </c>
    </row>
    <row r="16" spans="1:12" ht="12.75">
      <c r="A16" s="112" t="s">
        <v>124</v>
      </c>
      <c r="B16" s="133" t="e">
        <f>Dívida!B12</f>
        <v>#VALUE!</v>
      </c>
      <c r="C16" s="133">
        <f>' Avaliação'!B16</f>
        <v>-471575.48</v>
      </c>
      <c r="D16" s="191" t="e">
        <f t="shared" si="0"/>
        <v>#VALUE!</v>
      </c>
      <c r="E16" s="133"/>
      <c r="F16" s="191">
        <f t="shared" si="1"/>
        <v>-1</v>
      </c>
      <c r="G16" s="192">
        <f>IF(Metas!B17=0,"0",(Metas!B17))</f>
        <v>220221.57940231403</v>
      </c>
      <c r="H16" s="193" t="str">
        <f t="shared" si="2"/>
        <v>0</v>
      </c>
      <c r="I16" s="192">
        <f>IF(Metas!E17=0,"0",(Metas!E17))</f>
        <v>-96523.5942867333</v>
      </c>
      <c r="J16" s="191">
        <f t="shared" si="3"/>
        <v>-1.4383021616169511</v>
      </c>
      <c r="K16" s="192">
        <f>IF(Metas!H17=0,"0",(Metas!H17))</f>
        <v>-83299.34314197185</v>
      </c>
      <c r="L16" s="191">
        <f t="shared" si="4"/>
        <v>-0.13700537410032043</v>
      </c>
    </row>
    <row r="17" spans="1:12" ht="12.75">
      <c r="A17" s="112" t="s">
        <v>125</v>
      </c>
      <c r="B17" s="133">
        <v>513090.4</v>
      </c>
      <c r="C17" s="133">
        <f>' Avaliação'!B17</f>
        <v>496033.54</v>
      </c>
      <c r="D17" s="191">
        <f t="shared" si="0"/>
        <v>-0.03324338167309315</v>
      </c>
      <c r="E17" s="133"/>
      <c r="F17" s="191">
        <f t="shared" si="1"/>
        <v>-1</v>
      </c>
      <c r="G17" s="192">
        <f>IF(Metas!B18=0,"0",(Metas!B18))</f>
        <v>1859228.359402314</v>
      </c>
      <c r="H17" s="193" t="str">
        <f t="shared" si="2"/>
        <v>0</v>
      </c>
      <c r="I17" s="192">
        <f>IF(Metas!E18=0,"0",(Metas!E18))</f>
        <v>1812156.7184489141</v>
      </c>
      <c r="J17" s="191">
        <f t="shared" si="3"/>
        <v>-0.025317837217442185</v>
      </c>
      <c r="K17" s="192">
        <f>IF(Metas!H18=0,"0",(Metas!H18))</f>
        <v>1720615.38308472</v>
      </c>
      <c r="L17" s="191">
        <f t="shared" si="4"/>
        <v>-0.05051513173901834</v>
      </c>
    </row>
    <row r="18" spans="1:12" ht="12.75">
      <c r="A18" s="194" t="s">
        <v>119</v>
      </c>
      <c r="B18" s="134">
        <v>0</v>
      </c>
      <c r="C18" s="134">
        <f>' Avaliação'!B18</f>
        <v>-868872.63</v>
      </c>
      <c r="D18" s="191" t="str">
        <f t="shared" si="0"/>
        <v>0</v>
      </c>
      <c r="E18" s="134">
        <v>0</v>
      </c>
      <c r="F18" s="191">
        <f t="shared" si="1"/>
        <v>-1</v>
      </c>
      <c r="G18" s="192">
        <f>IF(Metas!B19=0,"0",(Metas!B19))</f>
        <v>220221.57940231403</v>
      </c>
      <c r="H18" s="193" t="str">
        <f t="shared" si="2"/>
        <v>0</v>
      </c>
      <c r="I18" s="192">
        <f>IF(Metas!E19=0,"0",(Metas!E19))</f>
        <v>123697.98511558073</v>
      </c>
      <c r="J18" s="191">
        <f t="shared" si="3"/>
        <v>-0.43830216161695124</v>
      </c>
      <c r="K18" s="192">
        <f>IF(Metas!H19=0,"0",(Metas!H19))</f>
        <v>40398.64197360887</v>
      </c>
      <c r="L18" s="191">
        <f t="shared" si="4"/>
        <v>-0.6734090540289621</v>
      </c>
    </row>
    <row r="19" spans="1:12" ht="12.75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</row>
    <row r="20" spans="1:12" ht="15.75" customHeight="1">
      <c r="A20" s="163" t="s">
        <v>97</v>
      </c>
      <c r="B20" s="464" t="s">
        <v>126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</row>
    <row r="21" spans="1:12" s="36" customFormat="1" ht="15.75" customHeight="1">
      <c r="A21" s="465"/>
      <c r="B21" s="467">
        <v>2015</v>
      </c>
      <c r="C21" s="467">
        <f>B21+1</f>
        <v>2016</v>
      </c>
      <c r="D21" s="467" t="s">
        <v>173</v>
      </c>
      <c r="E21" s="467">
        <f>C21+1</f>
        <v>2017</v>
      </c>
      <c r="F21" s="458" t="s">
        <v>173</v>
      </c>
      <c r="G21" s="458">
        <f>E21+1</f>
        <v>2018</v>
      </c>
      <c r="H21" s="458" t="s">
        <v>173</v>
      </c>
      <c r="I21" s="458">
        <f>G21+1</f>
        <v>2019</v>
      </c>
      <c r="J21" s="458" t="s">
        <v>173</v>
      </c>
      <c r="K21" s="458">
        <f>I21+1</f>
        <v>2020</v>
      </c>
      <c r="L21" s="461" t="s">
        <v>173</v>
      </c>
    </row>
    <row r="22" spans="1:12" s="36" customFormat="1" ht="15.75" customHeight="1">
      <c r="A22" s="466"/>
      <c r="B22" s="468"/>
      <c r="C22" s="468"/>
      <c r="D22" s="468"/>
      <c r="E22" s="468"/>
      <c r="F22" s="459"/>
      <c r="G22" s="459"/>
      <c r="H22" s="459"/>
      <c r="I22" s="459"/>
      <c r="J22" s="459"/>
      <c r="K22" s="459"/>
      <c r="L22" s="462"/>
    </row>
    <row r="23" spans="1:12" ht="12.75">
      <c r="A23" s="112" t="s">
        <v>121</v>
      </c>
      <c r="B23" s="192">
        <f>B11*((1+Parâmetros!C11)*(1+Parâmetros!D11))</f>
        <v>21143562.412800007</v>
      </c>
      <c r="C23" s="190">
        <f>C11*(1+Parâmetros!D11)</f>
        <v>19737940</v>
      </c>
      <c r="D23" s="191">
        <f>IF(B23=0,"-",(C23/B23)-1)</f>
        <v>-0.0664799235510598</v>
      </c>
      <c r="E23" s="190">
        <f>E11</f>
        <v>23628295.16</v>
      </c>
      <c r="F23" s="191">
        <f>IF(C23=0,"-",(E23/C23)-1)</f>
        <v>0.19710036407041476</v>
      </c>
      <c r="G23" s="192">
        <f>Metas!C12</f>
        <v>24962241.8748863</v>
      </c>
      <c r="H23" s="191">
        <f>IF(E23=0,"-",(G23/E23)-1)</f>
        <v>0.05645547873231749</v>
      </c>
      <c r="I23" s="192">
        <f>Metas!F12</f>
        <v>27079347.42489517</v>
      </c>
      <c r="J23" s="191">
        <f>IF(G23=0,"-",(I23/G23)-1)</f>
        <v>0.08481231616214813</v>
      </c>
      <c r="K23" s="192">
        <f>Metas!I12</f>
        <v>28640118.933990404</v>
      </c>
      <c r="L23" s="191">
        <f>IF(I23=0,"-",(K23/I23)-1)</f>
        <v>0.05763696903790039</v>
      </c>
    </row>
    <row r="24" spans="1:12" ht="12.75">
      <c r="A24" s="112" t="s">
        <v>186</v>
      </c>
      <c r="B24" s="192">
        <f>B12*((1+Parâmetros!C11)*(1+Parâmetros!D11))</f>
        <v>18225133.34267223</v>
      </c>
      <c r="C24" s="190">
        <f>C12*(1+Parâmetros!D11)</f>
        <v>16370404.607668001</v>
      </c>
      <c r="D24" s="191">
        <f aca="true" t="shared" si="5" ref="D24:D30">IF(B24=0,"-",(C24/B24)-1)</f>
        <v>-0.10176763594160243</v>
      </c>
      <c r="E24" s="190">
        <f>E12</f>
        <v>20231105.64335</v>
      </c>
      <c r="F24" s="191">
        <f>IF(C24=0,"-",(E24/C24)-1)</f>
        <v>0.2358341854222481</v>
      </c>
      <c r="G24" s="195">
        <f>Metas!C13</f>
        <v>21559495.823504563</v>
      </c>
      <c r="H24" s="191">
        <f aca="true" t="shared" si="6" ref="H24:H30">IF(E24=0,"-",(G24/E24)-1)</f>
        <v>0.06566078016557664</v>
      </c>
      <c r="I24" s="195">
        <f>Metas!F13</f>
        <v>23669982.437022835</v>
      </c>
      <c r="J24" s="191">
        <f aca="true" t="shared" si="7" ref="J24:J30">IF(G24=0,"-",(I24/G24)-1)</f>
        <v>0.09789127866419678</v>
      </c>
      <c r="K24" s="195">
        <f>Metas!I13</f>
        <v>25224101.66902405</v>
      </c>
      <c r="L24" s="191">
        <f aca="true" t="shared" si="8" ref="L24:L30">IF(I24=0,"-",(K24/I24)-1)</f>
        <v>0.0656578109483672</v>
      </c>
    </row>
    <row r="25" spans="1:12" ht="12.75">
      <c r="A25" s="112" t="s">
        <v>122</v>
      </c>
      <c r="B25" s="192">
        <f>B13*((1+Parâmetros!C11)*(1+Parâmetros!D11))</f>
        <v>21143562.412800007</v>
      </c>
      <c r="C25" s="190">
        <f>C13*(1+Parâmetros!D11)</f>
        <v>19737940</v>
      </c>
      <c r="D25" s="191">
        <f t="shared" si="5"/>
        <v>-0.0664799235510598</v>
      </c>
      <c r="E25" s="190">
        <f>E13</f>
        <v>23628295.16</v>
      </c>
      <c r="F25" s="191">
        <f aca="true" t="shared" si="9" ref="F25:F30">IF(C25=0,"-",(E25/C25)-1)</f>
        <v>0.19710036407041476</v>
      </c>
      <c r="G25" s="195">
        <f>Metas!C14</f>
        <v>24962241.8748863</v>
      </c>
      <c r="H25" s="191">
        <f t="shared" si="6"/>
        <v>0.05645547873231749</v>
      </c>
      <c r="I25" s="195">
        <f>Metas!F14</f>
        <v>27079347.42489517</v>
      </c>
      <c r="J25" s="191">
        <f t="shared" si="7"/>
        <v>0.08481231616214813</v>
      </c>
      <c r="K25" s="195">
        <f>Metas!I14</f>
        <v>28640118.9339904</v>
      </c>
      <c r="L25" s="191">
        <f t="shared" si="8"/>
        <v>0.05763696903790039</v>
      </c>
    </row>
    <row r="26" spans="1:12" ht="12.75">
      <c r="A26" s="112" t="s">
        <v>177</v>
      </c>
      <c r="B26" s="192">
        <f>B14*((1+Parâmetros!C11)*(1+Parâmetros!D11))</f>
        <v>20818918.543374754</v>
      </c>
      <c r="C26" s="190">
        <f>C14*(1+Parâmetros!D11)</f>
        <v>19550871.296830002</v>
      </c>
      <c r="D26" s="191">
        <f t="shared" si="5"/>
        <v>-0.0609084109677871</v>
      </c>
      <c r="E26" s="190">
        <f>E14</f>
        <v>23439579.151625</v>
      </c>
      <c r="F26" s="191">
        <f t="shared" si="9"/>
        <v>0.19890202312494987</v>
      </c>
      <c r="G26" s="195">
        <f>Metas!C15</f>
        <v>24753710.685631923</v>
      </c>
      <c r="H26" s="191">
        <f t="shared" si="6"/>
        <v>0.05606463859722588</v>
      </c>
      <c r="I26" s="195">
        <f>Metas!F15</f>
        <v>26847877.804822817</v>
      </c>
      <c r="J26" s="191">
        <f t="shared" si="7"/>
        <v>0.08460012907908943</v>
      </c>
      <c r="K26" s="195">
        <f>Metas!I15</f>
        <v>28383187.655710086</v>
      </c>
      <c r="L26" s="191">
        <f t="shared" si="8"/>
        <v>0.057185519915152305</v>
      </c>
    </row>
    <row r="27" spans="1:12" ht="12.75">
      <c r="A27" s="112" t="s">
        <v>123</v>
      </c>
      <c r="B27" s="192">
        <f>B24-B26</f>
        <v>-2593785.2007025257</v>
      </c>
      <c r="C27" s="195">
        <f>C24-C26</f>
        <v>-3180466.689162001</v>
      </c>
      <c r="D27" s="191">
        <f t="shared" si="5"/>
        <v>0.22618738371264246</v>
      </c>
      <c r="E27" s="195">
        <f>E24-E26</f>
        <v>-3208473.5082749985</v>
      </c>
      <c r="F27" s="191">
        <f t="shared" si="9"/>
        <v>0.00880588349138689</v>
      </c>
      <c r="G27" s="195">
        <f>Metas!C16</f>
        <v>-3194214.86212736</v>
      </c>
      <c r="H27" s="191">
        <f t="shared" si="6"/>
        <v>-0.00444405917981372</v>
      </c>
      <c r="I27" s="195">
        <f>Metas!F16</f>
        <v>-3177895.3677999824</v>
      </c>
      <c r="J27" s="191">
        <f t="shared" si="7"/>
        <v>-0.005109078453322535</v>
      </c>
      <c r="K27" s="195">
        <f>Metas!I16</f>
        <v>-3159085.986686036</v>
      </c>
      <c r="L27" s="191">
        <f t="shared" si="8"/>
        <v>-0.005918816995843401</v>
      </c>
    </row>
    <row r="28" spans="1:12" ht="12.75">
      <c r="A28" s="112" t="s">
        <v>124</v>
      </c>
      <c r="B28" s="192" t="e">
        <f>B16*((1+Parâmetros!C11)*(1+Parâmetros!D11))</f>
        <v>#VALUE!</v>
      </c>
      <c r="C28" s="190">
        <f>C16*(1+Parâmetros!D11)</f>
        <v>-487326.10103200004</v>
      </c>
      <c r="D28" s="191" t="e">
        <f t="shared" si="5"/>
        <v>#VALUE!</v>
      </c>
      <c r="E28" s="190">
        <f>E16</f>
        <v>0</v>
      </c>
      <c r="F28" s="191">
        <f t="shared" si="9"/>
        <v>-1</v>
      </c>
      <c r="G28" s="195">
        <f>Metas!C17</f>
        <v>211243.7212492221</v>
      </c>
      <c r="H28" s="191" t="str">
        <f t="shared" si="6"/>
        <v>-</v>
      </c>
      <c r="I28" s="195">
        <f>Metas!F17</f>
        <v>-88805.46676725757</v>
      </c>
      <c r="J28" s="191">
        <f t="shared" si="7"/>
        <v>-1.4203934026634868</v>
      </c>
      <c r="K28" s="195">
        <f>Metas!I17</f>
        <v>-73577.80392728097</v>
      </c>
      <c r="L28" s="191">
        <f t="shared" si="8"/>
        <v>-0.1714721333528424</v>
      </c>
    </row>
    <row r="29" spans="1:12" ht="12.75">
      <c r="A29" s="112" t="s">
        <v>125</v>
      </c>
      <c r="B29" s="192">
        <f>B17*((1+Parâmetros!C11)*(1+Parâmetros!D11))</f>
        <v>568404.0079539202</v>
      </c>
      <c r="C29" s="190">
        <f>C17*(1+Parâmetros!D11)</f>
        <v>512601.06023600005</v>
      </c>
      <c r="D29" s="191">
        <f t="shared" si="5"/>
        <v>-0.09817479633684079</v>
      </c>
      <c r="E29" s="190">
        <f>E17</f>
        <v>0</v>
      </c>
      <c r="F29" s="191">
        <f t="shared" si="9"/>
        <v>-1</v>
      </c>
      <c r="G29" s="195">
        <f>Metas!C18</f>
        <v>1783432.479042987</v>
      </c>
      <c r="H29" s="191" t="str">
        <f t="shared" si="6"/>
        <v>-</v>
      </c>
      <c r="I29" s="195">
        <f>Metas!F18</f>
        <v>1667254.7725400706</v>
      </c>
      <c r="J29" s="191">
        <f t="shared" si="7"/>
        <v>-0.06514275581953011</v>
      </c>
      <c r="K29" s="195">
        <f>Metas!I18</f>
        <v>1519809.1187237918</v>
      </c>
      <c r="L29" s="191">
        <f t="shared" si="8"/>
        <v>-0.08843618638538642</v>
      </c>
    </row>
    <row r="30" spans="1:12" ht="12.75">
      <c r="A30" s="194" t="s">
        <v>119</v>
      </c>
      <c r="B30" s="192">
        <f>B18*((1+Parâmetros!C11)*(1+Parâmetros!D11))</f>
        <v>0</v>
      </c>
      <c r="C30" s="190">
        <f>C18*(1+Parâmetros!D11)</f>
        <v>-897892.9758420001</v>
      </c>
      <c r="D30" s="191" t="str">
        <f t="shared" si="5"/>
        <v>-</v>
      </c>
      <c r="E30" s="190">
        <f>E18</f>
        <v>0</v>
      </c>
      <c r="F30" s="191">
        <f t="shared" si="9"/>
        <v>-1</v>
      </c>
      <c r="G30" s="196">
        <f>Metas!C19</f>
        <v>211243.7212492221</v>
      </c>
      <c r="H30" s="191" t="str">
        <f t="shared" si="6"/>
        <v>-</v>
      </c>
      <c r="I30" s="192">
        <f>IF(Metas!F19=0,"0",(Metas!F19))</f>
        <v>113806.96489322787</v>
      </c>
      <c r="J30" s="191">
        <f t="shared" si="7"/>
        <v>-0.4612527926500586</v>
      </c>
      <c r="K30" s="192">
        <f>IF(Metas!I19=0,"0",(Metas!I19))</f>
        <v>35683.87511767663</v>
      </c>
      <c r="L30" s="191">
        <f t="shared" si="8"/>
        <v>-0.6864526248357932</v>
      </c>
    </row>
    <row r="31" spans="1:12" ht="12.75">
      <c r="A31" s="460" t="str">
        <f>Dívida!A21</f>
        <v>Fonte: Sistema Betha Sistemas, Unidade Responsável Contabilidade, Data da emissão 20/06/2017 e hora de emissão 08:34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</row>
  </sheetData>
  <sheetProtection/>
  <mergeCells count="35">
    <mergeCell ref="A7:B7"/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printOptions/>
  <pageMargins left="0.787401575" right="0.787401575" top="0.984251969" bottom="0.984251969" header="0.492125985" footer="0.492125985"/>
  <pageSetup fitToHeight="0" fitToWidth="1" horizontalDpi="300" verticalDpi="3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G27"/>
  <sheetViews>
    <sheetView view="pageBreakPreview" zoomScale="90" zoomScaleSheetLayoutView="90" zoomScalePageLayoutView="0" workbookViewId="0" topLeftCell="A1">
      <selection activeCell="A5" sqref="A5:G5"/>
    </sheetView>
  </sheetViews>
  <sheetFormatPr defaultColWidth="9.140625" defaultRowHeight="12.75"/>
  <cols>
    <col min="1" max="1" width="22.00390625" style="34" customWidth="1"/>
    <col min="2" max="2" width="17.57421875" style="34" customWidth="1"/>
    <col min="3" max="3" width="10.140625" style="34" customWidth="1"/>
    <col min="4" max="4" width="17.7109375" style="34" customWidth="1"/>
    <col min="5" max="5" width="12.28125" style="34" bestFit="1" customWidth="1"/>
    <col min="6" max="6" width="18.00390625" style="34" customWidth="1"/>
    <col min="7" max="7" width="10.7109375" style="34" customWidth="1"/>
    <col min="8" max="16384" width="9.140625" style="34" customWidth="1"/>
  </cols>
  <sheetData>
    <row r="1" spans="1:7" ht="12.75">
      <c r="A1" s="400" t="str">
        <f>Parâmetros!A7</f>
        <v>Município de : Boqueirão do Leão - RS</v>
      </c>
      <c r="B1" s="403"/>
      <c r="C1" s="403"/>
      <c r="D1" s="403"/>
      <c r="E1" s="403"/>
      <c r="F1" s="403"/>
      <c r="G1" s="417"/>
    </row>
    <row r="2" spans="1:7" ht="12.75">
      <c r="A2" s="402" t="s">
        <v>416</v>
      </c>
      <c r="B2" s="403"/>
      <c r="C2" s="403"/>
      <c r="D2" s="403"/>
      <c r="E2" s="403"/>
      <c r="F2" s="403"/>
      <c r="G2" s="417"/>
    </row>
    <row r="3" spans="1:7" ht="12.75">
      <c r="A3" s="402" t="s">
        <v>175</v>
      </c>
      <c r="B3" s="403"/>
      <c r="C3" s="403"/>
      <c r="D3" s="403"/>
      <c r="E3" s="403"/>
      <c r="F3" s="403"/>
      <c r="G3" s="417"/>
    </row>
    <row r="4" spans="1:7" ht="12.75">
      <c r="A4" s="425" t="s">
        <v>184</v>
      </c>
      <c r="B4" s="426"/>
      <c r="C4" s="426"/>
      <c r="D4" s="426"/>
      <c r="E4" s="426"/>
      <c r="F4" s="426"/>
      <c r="G4" s="427"/>
    </row>
    <row r="5" spans="1:7" ht="12.75">
      <c r="A5" s="402" t="s">
        <v>407</v>
      </c>
      <c r="B5" s="403"/>
      <c r="C5" s="403"/>
      <c r="D5" s="403"/>
      <c r="E5" s="403"/>
      <c r="F5" s="403"/>
      <c r="G5" s="417"/>
    </row>
    <row r="6" spans="1:7" ht="12.75">
      <c r="A6" s="479"/>
      <c r="B6" s="480"/>
      <c r="C6" s="480"/>
      <c r="D6" s="480"/>
      <c r="E6" s="480"/>
      <c r="F6" s="480"/>
      <c r="G6" s="481"/>
    </row>
    <row r="7" spans="1:7" ht="15">
      <c r="A7" s="485" t="s">
        <v>291</v>
      </c>
      <c r="B7" s="486"/>
      <c r="C7" s="39"/>
      <c r="D7" s="39"/>
      <c r="E7" s="39"/>
      <c r="F7" s="39"/>
      <c r="G7" s="37">
        <v>1</v>
      </c>
    </row>
    <row r="8" spans="1:7" s="36" customFormat="1" ht="25.5" customHeight="1">
      <c r="A8" s="38" t="s">
        <v>127</v>
      </c>
      <c r="B8" s="38">
        <v>2016</v>
      </c>
      <c r="C8" s="38" t="s">
        <v>19</v>
      </c>
      <c r="D8" s="38">
        <f>B8-1</f>
        <v>2015</v>
      </c>
      <c r="E8" s="38" t="s">
        <v>19</v>
      </c>
      <c r="F8" s="38">
        <f>D8-1</f>
        <v>2014</v>
      </c>
      <c r="G8" s="35" t="s">
        <v>19</v>
      </c>
    </row>
    <row r="9" spans="1:7" ht="15">
      <c r="A9" s="186" t="s">
        <v>128</v>
      </c>
      <c r="B9" s="121">
        <f>D12</f>
        <v>23616759.81</v>
      </c>
      <c r="C9" s="235">
        <f>IF(B12=0,"-",(B9/B12))</f>
        <v>0.7130634463486925</v>
      </c>
      <c r="D9" s="121">
        <f>F12</f>
        <v>17188522.13</v>
      </c>
      <c r="E9" s="235">
        <f>IF(D12=0,"-",(D9/D12))</f>
        <v>0.7278103460544108</v>
      </c>
      <c r="F9" s="121">
        <f>11928480.51+3801.7</f>
        <v>11932282.209999999</v>
      </c>
      <c r="G9" s="235">
        <f>IF(F12=0,"-",(F9/F12))</f>
        <v>0.6942005903563974</v>
      </c>
    </row>
    <row r="10" spans="1:7" ht="15">
      <c r="A10" s="186" t="s">
        <v>49</v>
      </c>
      <c r="B10" s="236">
        <v>0</v>
      </c>
      <c r="C10" s="235">
        <f>IF(B12=0,"-",(B10/B12))</f>
        <v>0</v>
      </c>
      <c r="D10" s="236">
        <v>0</v>
      </c>
      <c r="E10" s="235">
        <f>IF(D12=0,"-",(D10/D12))</f>
        <v>0</v>
      </c>
      <c r="F10" s="236">
        <v>0</v>
      </c>
      <c r="G10" s="235">
        <f>IF(F12=0,"-",(F10/F12))</f>
        <v>0</v>
      </c>
    </row>
    <row r="11" spans="1:7" ht="15">
      <c r="A11" s="187" t="s">
        <v>129</v>
      </c>
      <c r="B11" s="237">
        <f>9276260.66+227117.62</f>
        <v>9503378.28</v>
      </c>
      <c r="C11" s="238">
        <f>IF(B12=0,"-",(B11/B12))</f>
        <v>0.28693655365130755</v>
      </c>
      <c r="D11" s="237">
        <f>6391159.93+37077.75</f>
        <v>6428237.68</v>
      </c>
      <c r="E11" s="238">
        <f>IF(D12=0,"-",(D11/D12))</f>
        <v>0.27218965394558925</v>
      </c>
      <c r="F11" s="237">
        <f>5250872.65+5367.27</f>
        <v>5256239.92</v>
      </c>
      <c r="G11" s="238">
        <f>IF(F12=0,"-",(F11/F12))</f>
        <v>0.3057994096436027</v>
      </c>
    </row>
    <row r="12" spans="1:7" ht="15">
      <c r="A12" s="239" t="s">
        <v>130</v>
      </c>
      <c r="B12" s="240">
        <f>SUM(B9:B11)</f>
        <v>33120138.089999996</v>
      </c>
      <c r="C12" s="238">
        <f>IF(B12=0,"-",(B12/B12))</f>
        <v>1</v>
      </c>
      <c r="D12" s="240">
        <f>SUM(D9:D11)</f>
        <v>23616759.81</v>
      </c>
      <c r="E12" s="238">
        <f>IF(D12=0,"-",(D12/D12))</f>
        <v>1</v>
      </c>
      <c r="F12" s="240">
        <f>SUM(F9:F11)</f>
        <v>17188522.13</v>
      </c>
      <c r="G12" s="238">
        <f>IF(F12=0,"-",(F12/F12))</f>
        <v>1</v>
      </c>
    </row>
    <row r="13" spans="1:7" ht="15">
      <c r="A13" s="484"/>
      <c r="B13" s="484"/>
      <c r="C13" s="484"/>
      <c r="D13" s="484"/>
      <c r="E13" s="484"/>
      <c r="F13" s="484"/>
      <c r="G13" s="484"/>
    </row>
    <row r="14" spans="1:7" ht="15.75" customHeight="1">
      <c r="A14" s="482" t="s">
        <v>131</v>
      </c>
      <c r="B14" s="482"/>
      <c r="C14" s="482"/>
      <c r="D14" s="482"/>
      <c r="E14" s="482"/>
      <c r="F14" s="482"/>
      <c r="G14" s="482"/>
    </row>
    <row r="15" spans="1:7" s="36" customFormat="1" ht="25.5" customHeight="1">
      <c r="A15" s="213" t="s">
        <v>127</v>
      </c>
      <c r="B15" s="213">
        <v>2016</v>
      </c>
      <c r="C15" s="213" t="s">
        <v>19</v>
      </c>
      <c r="D15" s="213">
        <f>B15-1</f>
        <v>2015</v>
      </c>
      <c r="E15" s="213" t="s">
        <v>19</v>
      </c>
      <c r="F15" s="213">
        <f>D15-1</f>
        <v>2014</v>
      </c>
      <c r="G15" s="183" t="s">
        <v>19</v>
      </c>
    </row>
    <row r="16" spans="1:7" ht="15">
      <c r="A16" s="186" t="s">
        <v>128</v>
      </c>
      <c r="B16" s="121">
        <f>D19</f>
        <v>-268303.25</v>
      </c>
      <c r="C16" s="235">
        <f>IF(B19=0,"-",(B16/B19))</f>
        <v>-0.031440868323687775</v>
      </c>
      <c r="D16" s="121">
        <f>F19</f>
        <v>-5852194.64</v>
      </c>
      <c r="E16" s="235">
        <f>IF(D19=0,"-",(D16/D19))</f>
        <v>21.811866386262558</v>
      </c>
      <c r="F16" s="121">
        <v>-9086082.85</v>
      </c>
      <c r="G16" s="235">
        <f>IF(F19=0,"-",(F16/F19))</f>
        <v>1.5525940965627214</v>
      </c>
    </row>
    <row r="17" spans="1:7" ht="15">
      <c r="A17" s="186" t="s">
        <v>49</v>
      </c>
      <c r="B17" s="236">
        <v>0</v>
      </c>
      <c r="C17" s="235">
        <f>IF(B19=0,"-",(B17/B19))</f>
        <v>0</v>
      </c>
      <c r="D17" s="236">
        <v>0</v>
      </c>
      <c r="E17" s="235">
        <f>IF(D19=0,"-",(D17/D19))</f>
        <v>0</v>
      </c>
      <c r="F17" s="236">
        <v>0</v>
      </c>
      <c r="G17" s="235">
        <f>IF(F19=0,"-",(F17/F19))</f>
        <v>0</v>
      </c>
    </row>
    <row r="18" spans="1:7" ht="15">
      <c r="A18" s="187" t="s">
        <v>129</v>
      </c>
      <c r="B18" s="237">
        <f>8801885.95</f>
        <v>8801885.95</v>
      </c>
      <c r="C18" s="238">
        <f>IF(B19=0,"-",(B18/B19))</f>
        <v>1.0314408683236878</v>
      </c>
      <c r="D18" s="237">
        <v>5583891.39</v>
      </c>
      <c r="E18" s="238">
        <f>IF(D19=0,"-",(D18/D19))</f>
        <v>-20.811866386262558</v>
      </c>
      <c r="F18" s="237">
        <v>3233888.21</v>
      </c>
      <c r="G18" s="238">
        <f>IF(F19=0,"-",(F18/F19))</f>
        <v>-0.5525940965627213</v>
      </c>
    </row>
    <row r="19" spans="1:7" ht="15">
      <c r="A19" s="239" t="s">
        <v>130</v>
      </c>
      <c r="B19" s="240">
        <f>SUM(B16:B18)</f>
        <v>8533582.7</v>
      </c>
      <c r="C19" s="238">
        <f>IF(B19=0,"-",(B19/B19))</f>
        <v>1</v>
      </c>
      <c r="D19" s="240">
        <f>SUM(D16:D18)</f>
        <v>-268303.25</v>
      </c>
      <c r="E19" s="238">
        <f>IF(D19=0,"-",(D19/D19))</f>
        <v>1</v>
      </c>
      <c r="F19" s="240">
        <f>SUM(F16:F18)</f>
        <v>-5852194.64</v>
      </c>
      <c r="G19" s="238">
        <f>IF(F19=0,"-",(F19/F19))</f>
        <v>1</v>
      </c>
    </row>
    <row r="20" spans="1:7" ht="12.75">
      <c r="A20" s="483"/>
      <c r="B20" s="483"/>
      <c r="C20" s="483"/>
      <c r="D20" s="483"/>
      <c r="E20" s="483"/>
      <c r="F20" s="483"/>
      <c r="G20" s="483"/>
    </row>
    <row r="21" spans="1:7" ht="15.75" customHeight="1">
      <c r="A21" s="482" t="s">
        <v>344</v>
      </c>
      <c r="B21" s="482"/>
      <c r="C21" s="482"/>
      <c r="D21" s="482"/>
      <c r="E21" s="482"/>
      <c r="F21" s="482"/>
      <c r="G21" s="482"/>
    </row>
    <row r="22" spans="1:7" s="36" customFormat="1" ht="25.5" customHeight="1">
      <c r="A22" s="213" t="s">
        <v>127</v>
      </c>
      <c r="B22" s="213">
        <v>2016</v>
      </c>
      <c r="C22" s="213" t="s">
        <v>19</v>
      </c>
      <c r="D22" s="213">
        <f>B22-1</f>
        <v>2015</v>
      </c>
      <c r="E22" s="213" t="s">
        <v>19</v>
      </c>
      <c r="F22" s="213">
        <f>D22-1</f>
        <v>2014</v>
      </c>
      <c r="G22" s="183" t="s">
        <v>19</v>
      </c>
    </row>
    <row r="23" spans="1:7" ht="15">
      <c r="A23" s="186" t="s">
        <v>128</v>
      </c>
      <c r="B23" s="121">
        <f>B9+B16</f>
        <v>23348456.56</v>
      </c>
      <c r="C23" s="235">
        <f>IF(B26=0,"-",(B23/B26))</f>
        <v>0.5605371169051812</v>
      </c>
      <c r="D23" s="121">
        <f>D9+D16</f>
        <v>11336327.489999998</v>
      </c>
      <c r="E23" s="235">
        <f>IF(D26=0,"-",(D23/D26))</f>
        <v>0.4855279174821823</v>
      </c>
      <c r="F23" s="121">
        <f>F9+F16</f>
        <v>2846199.3599999994</v>
      </c>
      <c r="G23" s="235">
        <f>IF(F26=0,"-",(F23/F26))</f>
        <v>0.25106890767849543</v>
      </c>
    </row>
    <row r="24" spans="1:7" ht="15">
      <c r="A24" s="186" t="s">
        <v>49</v>
      </c>
      <c r="B24" s="236">
        <f>B10+B17</f>
        <v>0</v>
      </c>
      <c r="C24" s="235">
        <f>IF(B26=0,"-",(B24/B26))</f>
        <v>0</v>
      </c>
      <c r="D24" s="236">
        <f>D10+D17</f>
        <v>0</v>
      </c>
      <c r="E24" s="235">
        <f>IF(D26=0,"-",(D24/D26))</f>
        <v>0</v>
      </c>
      <c r="F24" s="236">
        <f>F10+F17</f>
        <v>0</v>
      </c>
      <c r="G24" s="235">
        <f>IF(F26=0,"-",(F24/F26))</f>
        <v>0</v>
      </c>
    </row>
    <row r="25" spans="1:7" ht="15">
      <c r="A25" s="187" t="s">
        <v>129</v>
      </c>
      <c r="B25" s="237">
        <f>B11+B18</f>
        <v>18305264.229999997</v>
      </c>
      <c r="C25" s="238">
        <f>IF(B26=0,"-",(B25/B26))</f>
        <v>0.43946288309481896</v>
      </c>
      <c r="D25" s="237">
        <f>D11+D18</f>
        <v>12012129.07</v>
      </c>
      <c r="E25" s="238">
        <f>IF(D26=0,"-",(D25/D26))</f>
        <v>0.5144720825178176</v>
      </c>
      <c r="F25" s="237">
        <f>F11+F18</f>
        <v>8490128.129999999</v>
      </c>
      <c r="G25" s="238">
        <f>IF(F26=0,"-",(F25/F26))</f>
        <v>0.7489310923215046</v>
      </c>
    </row>
    <row r="26" spans="1:7" ht="15">
      <c r="A26" s="239" t="s">
        <v>130</v>
      </c>
      <c r="B26" s="240">
        <f>SUM(B23:B25)</f>
        <v>41653720.78999999</v>
      </c>
      <c r="C26" s="238">
        <f>IF(B26=0,"-",(B26/B26))</f>
        <v>1</v>
      </c>
      <c r="D26" s="240">
        <f>SUM(D23:D25)</f>
        <v>23348456.56</v>
      </c>
      <c r="E26" s="238">
        <f>IF(D26=0,"-",(D26/D26))</f>
        <v>1</v>
      </c>
      <c r="F26" s="240">
        <f>SUM(F23:F25)</f>
        <v>11336327.489999998</v>
      </c>
      <c r="G26" s="238">
        <f>IF(F26=0,"-",(F26/F26))</f>
        <v>1</v>
      </c>
    </row>
    <row r="27" spans="1:7" ht="12.75">
      <c r="A27" s="477" t="str">
        <f>Dívida!A21</f>
        <v>Fonte: Sistema Betha Sistemas, Unidade Responsável Contabilidade, Data da emissão 20/06/2017 e hora de emissão 08:34</v>
      </c>
      <c r="B27" s="478"/>
      <c r="C27" s="478"/>
      <c r="D27" s="478"/>
      <c r="E27" s="478"/>
      <c r="F27" s="478"/>
      <c r="G27" s="478"/>
    </row>
  </sheetData>
  <sheetProtection/>
  <mergeCells count="12">
    <mergeCell ref="A1:G1"/>
    <mergeCell ref="A2:G2"/>
    <mergeCell ref="A13:G13"/>
    <mergeCell ref="A14:G14"/>
    <mergeCell ref="A7:B7"/>
    <mergeCell ref="A3:G3"/>
    <mergeCell ref="A4:G4"/>
    <mergeCell ref="A5:G5"/>
    <mergeCell ref="A27:G27"/>
    <mergeCell ref="A6:G6"/>
    <mergeCell ref="A21:G21"/>
    <mergeCell ref="A20:G20"/>
  </mergeCells>
  <printOptions/>
  <pageMargins left="0.787401575" right="0.787401575" top="0.984251969" bottom="0.984251969" header="0.492125985" footer="0.492125985"/>
  <pageSetup fitToHeight="0" fitToWidth="1" horizontalDpi="300" verticalDpi="300" orientation="portrait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D30"/>
  <sheetViews>
    <sheetView view="pageBreakPreview" zoomScale="90" zoomScaleNormal="90" zoomScaleSheetLayoutView="90" zoomScalePageLayoutView="0" workbookViewId="0" topLeftCell="A4">
      <selection activeCell="A5" sqref="A5:D5"/>
    </sheetView>
  </sheetViews>
  <sheetFormatPr defaultColWidth="9.140625" defaultRowHeight="12.75"/>
  <cols>
    <col min="1" max="1" width="58.421875" style="40" customWidth="1"/>
    <col min="2" max="3" width="14.7109375" style="40" customWidth="1"/>
    <col min="4" max="4" width="15.7109375" style="40" customWidth="1"/>
    <col min="5" max="16384" width="9.140625" style="40" customWidth="1"/>
  </cols>
  <sheetData>
    <row r="1" spans="1:4" ht="14.25">
      <c r="A1" s="454" t="str">
        <f>Parâmetros!A7</f>
        <v>Município de : Boqueirão do Leão - RS</v>
      </c>
      <c r="B1" s="449"/>
      <c r="C1" s="449"/>
      <c r="D1" s="450"/>
    </row>
    <row r="2" spans="1:4" ht="14.25">
      <c r="A2" s="448" t="s">
        <v>416</v>
      </c>
      <c r="B2" s="449"/>
      <c r="C2" s="449"/>
      <c r="D2" s="450"/>
    </row>
    <row r="3" spans="1:4" ht="14.25">
      <c r="A3" s="448" t="s">
        <v>175</v>
      </c>
      <c r="B3" s="449"/>
      <c r="C3" s="449"/>
      <c r="D3" s="450"/>
    </row>
    <row r="4" spans="1:4" ht="15">
      <c r="A4" s="496" t="s">
        <v>185</v>
      </c>
      <c r="B4" s="497"/>
      <c r="C4" s="497"/>
      <c r="D4" s="498"/>
    </row>
    <row r="5" spans="1:4" ht="14.25">
      <c r="A5" s="448" t="s">
        <v>406</v>
      </c>
      <c r="B5" s="449"/>
      <c r="C5" s="449"/>
      <c r="D5" s="450"/>
    </row>
    <row r="6" spans="1:4" ht="14.25">
      <c r="A6" s="499"/>
      <c r="B6" s="500"/>
      <c r="C6" s="500"/>
      <c r="D6" s="501"/>
    </row>
    <row r="7" spans="1:4" ht="14.25">
      <c r="A7" s="153" t="s">
        <v>292</v>
      </c>
      <c r="B7" s="197"/>
      <c r="C7" s="197"/>
      <c r="D7" s="198">
        <v>1</v>
      </c>
    </row>
    <row r="8" spans="1:4" s="41" customFormat="1" ht="25.5" customHeight="1">
      <c r="A8" s="199" t="s">
        <v>132</v>
      </c>
      <c r="B8" s="199">
        <v>2016</v>
      </c>
      <c r="C8" s="199">
        <f>B8-1</f>
        <v>2015</v>
      </c>
      <c r="D8" s="200">
        <f>C8-1</f>
        <v>2014</v>
      </c>
    </row>
    <row r="9" spans="1:4" s="41" customFormat="1" ht="25.5" customHeight="1">
      <c r="A9" s="201" t="s">
        <v>393</v>
      </c>
      <c r="B9" s="202"/>
      <c r="C9" s="202"/>
      <c r="D9" s="203"/>
    </row>
    <row r="10" spans="1:4" ht="12.75" customHeight="1">
      <c r="A10" s="204" t="s">
        <v>68</v>
      </c>
      <c r="B10" s="205">
        <f>B11</f>
        <v>64600</v>
      </c>
      <c r="C10" s="205">
        <f>C11</f>
        <v>110150</v>
      </c>
      <c r="D10" s="205">
        <v>0</v>
      </c>
    </row>
    <row r="11" spans="1:4" ht="12.75" customHeight="1">
      <c r="A11" s="204" t="s">
        <v>133</v>
      </c>
      <c r="B11" s="205">
        <f>B12+B13</f>
        <v>64600</v>
      </c>
      <c r="C11" s="205">
        <f>C12+C13</f>
        <v>110150</v>
      </c>
      <c r="D11" s="205">
        <f>D12+D13</f>
        <v>0</v>
      </c>
    </row>
    <row r="12" spans="1:4" ht="12.75" customHeight="1">
      <c r="A12" s="204" t="s">
        <v>134</v>
      </c>
      <c r="B12" s="135">
        <v>64600</v>
      </c>
      <c r="C12" s="135">
        <v>110150</v>
      </c>
      <c r="D12" s="135">
        <v>0</v>
      </c>
    </row>
    <row r="13" spans="1:4" ht="12.75" customHeight="1">
      <c r="A13" s="206" t="s">
        <v>135</v>
      </c>
      <c r="B13" s="136">
        <v>0</v>
      </c>
      <c r="C13" s="136"/>
      <c r="D13" s="136">
        <v>0</v>
      </c>
    </row>
    <row r="14" spans="1:4" ht="12.75" customHeight="1">
      <c r="A14" s="206" t="s">
        <v>216</v>
      </c>
      <c r="B14" s="136"/>
      <c r="C14" s="136"/>
      <c r="D14" s="136"/>
    </row>
    <row r="15" spans="1:4" ht="14.25">
      <c r="A15" s="206" t="s">
        <v>136</v>
      </c>
      <c r="B15" s="207">
        <f>B12+B13+B14</f>
        <v>64600</v>
      </c>
      <c r="C15" s="207">
        <f>C12+C13+C14</f>
        <v>110150</v>
      </c>
      <c r="D15" s="207">
        <f>D9+D12+D13+D14</f>
        <v>0</v>
      </c>
    </row>
    <row r="16" spans="1:4" ht="14.25">
      <c r="A16" s="487"/>
      <c r="B16" s="487"/>
      <c r="C16" s="487"/>
      <c r="D16" s="487"/>
    </row>
    <row r="17" spans="1:4" s="41" customFormat="1" ht="14.25">
      <c r="A17" s="490" t="s">
        <v>285</v>
      </c>
      <c r="B17" s="492">
        <v>2016</v>
      </c>
      <c r="C17" s="492">
        <v>2015</v>
      </c>
      <c r="D17" s="494">
        <v>2014</v>
      </c>
    </row>
    <row r="18" spans="1:4" s="41" customFormat="1" ht="14.25">
      <c r="A18" s="491"/>
      <c r="B18" s="493"/>
      <c r="C18" s="493"/>
      <c r="D18" s="495"/>
    </row>
    <row r="19" spans="1:4" ht="28.5">
      <c r="A19" s="204" t="s">
        <v>137</v>
      </c>
      <c r="B19" s="208"/>
      <c r="C19" s="208"/>
      <c r="D19" s="209"/>
    </row>
    <row r="20" spans="1:4" ht="14.25">
      <c r="A20" s="204" t="s">
        <v>138</v>
      </c>
      <c r="B20" s="205">
        <f>B21+B22+B23</f>
        <v>1547946.78</v>
      </c>
      <c r="C20" s="205">
        <f>C21+C22+C23</f>
        <v>1350619.53</v>
      </c>
      <c r="D20" s="205">
        <f>D21+D22+D23</f>
        <v>2134602.25</v>
      </c>
    </row>
    <row r="21" spans="1:4" ht="14.25">
      <c r="A21" s="204" t="s">
        <v>139</v>
      </c>
      <c r="B21" s="135">
        <f>Plano!E49</f>
        <v>1547946.78</v>
      </c>
      <c r="C21" s="135">
        <f>Plano!D49</f>
        <v>1350619.53</v>
      </c>
      <c r="D21" s="210">
        <f>Plano!C49</f>
        <v>2134602.25</v>
      </c>
    </row>
    <row r="22" spans="1:4" ht="14.25">
      <c r="A22" s="204" t="s">
        <v>140</v>
      </c>
      <c r="B22" s="135"/>
      <c r="C22" s="135"/>
      <c r="D22" s="210">
        <v>0</v>
      </c>
    </row>
    <row r="23" spans="1:4" ht="14.25">
      <c r="A23" s="204" t="s">
        <v>141</v>
      </c>
      <c r="B23" s="135">
        <v>0</v>
      </c>
      <c r="C23" s="135">
        <v>0</v>
      </c>
      <c r="D23" s="210">
        <v>0</v>
      </c>
    </row>
    <row r="24" spans="1:4" ht="14.25">
      <c r="A24" s="204" t="s">
        <v>142</v>
      </c>
      <c r="B24" s="205">
        <f>B25+B26</f>
        <v>0</v>
      </c>
      <c r="C24" s="205">
        <f>C25+C26</f>
        <v>0</v>
      </c>
      <c r="D24" s="205">
        <f>D25+D26</f>
        <v>0</v>
      </c>
    </row>
    <row r="25" spans="1:4" ht="14.25">
      <c r="A25" s="204" t="s">
        <v>143</v>
      </c>
      <c r="B25" s="135"/>
      <c r="C25" s="135"/>
      <c r="D25" s="210"/>
    </row>
    <row r="26" spans="1:4" ht="14.25">
      <c r="A26" s="206" t="s">
        <v>144</v>
      </c>
      <c r="B26" s="136"/>
      <c r="C26" s="136"/>
      <c r="D26" s="211"/>
    </row>
    <row r="27" spans="1:4" ht="14.25">
      <c r="A27" s="206" t="s">
        <v>136</v>
      </c>
      <c r="B27" s="207">
        <f>B20+B24</f>
        <v>1547946.78</v>
      </c>
      <c r="C27" s="207">
        <f>C20+C24</f>
        <v>1350619.53</v>
      </c>
      <c r="D27" s="207">
        <f>D20+D24</f>
        <v>2134602.25</v>
      </c>
    </row>
    <row r="28" spans="1:4" ht="14.25">
      <c r="A28" s="488" t="s">
        <v>145</v>
      </c>
      <c r="B28" s="136"/>
      <c r="C28" s="136"/>
      <c r="D28" s="211"/>
    </row>
    <row r="29" spans="1:4" ht="14.25">
      <c r="A29" s="489"/>
      <c r="B29" s="207">
        <f>C29+B15-B27</f>
        <v>-4858418.5600000005</v>
      </c>
      <c r="C29" s="207">
        <f>D29+C15-C27</f>
        <v>-3375071.7800000003</v>
      </c>
      <c r="D29" s="212">
        <f>D15-D27</f>
        <v>-2134602.25</v>
      </c>
    </row>
    <row r="30" spans="1:4" ht="14.25">
      <c r="A30" s="421" t="str">
        <f>Dívida!A21</f>
        <v>Fonte: Sistema Betha Sistemas, Unidade Responsável Contabilidade, Data da emissão 20/06/2017 e hora de emissão 08:34</v>
      </c>
      <c r="B30" s="421"/>
      <c r="C30" s="421"/>
      <c r="D30" s="421"/>
    </row>
  </sheetData>
  <sheetProtection/>
  <mergeCells count="13">
    <mergeCell ref="A1:D1"/>
    <mergeCell ref="A2:D2"/>
    <mergeCell ref="A3:D3"/>
    <mergeCell ref="A4:D4"/>
    <mergeCell ref="A5:D5"/>
    <mergeCell ref="A6:D6"/>
    <mergeCell ref="A16:D16"/>
    <mergeCell ref="A28:A29"/>
    <mergeCell ref="A30:D30"/>
    <mergeCell ref="A17:A18"/>
    <mergeCell ref="B17:B18"/>
    <mergeCell ref="C17:C18"/>
    <mergeCell ref="D17:D18"/>
  </mergeCells>
  <printOptions/>
  <pageMargins left="0.787401575" right="0.787401575" top="0.984251969" bottom="0.984251969" header="0.492125985" footer="0.492125985"/>
  <pageSetup fitToHeight="0" fitToWidth="1" horizontalDpi="300" verticalDpi="3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workbookViewId="0" topLeftCell="A1">
      <selection activeCell="A5" sqref="A5:G5"/>
    </sheetView>
  </sheetViews>
  <sheetFormatPr defaultColWidth="9.140625" defaultRowHeight="11.25" customHeight="1"/>
  <cols>
    <col min="1" max="3" width="12.8515625" style="122" customWidth="1"/>
    <col min="4" max="4" width="24.00390625" style="122" customWidth="1"/>
    <col min="5" max="6" width="12.8515625" style="122" customWidth="1"/>
    <col min="7" max="7" width="13.00390625" style="122" customWidth="1"/>
    <col min="8" max="8" width="12.8515625" style="122" customWidth="1"/>
    <col min="9" max="16384" width="9.140625" style="122" customWidth="1"/>
  </cols>
  <sheetData>
    <row r="1" spans="1:7" ht="11.25" customHeight="1">
      <c r="A1" s="522" t="str">
        <f>Parâmetros!A7</f>
        <v>Município de : Boqueirão do Leão - RS</v>
      </c>
      <c r="B1" s="523"/>
      <c r="C1" s="523"/>
      <c r="D1" s="523"/>
      <c r="E1" s="523"/>
      <c r="F1" s="523"/>
      <c r="G1" s="523"/>
    </row>
    <row r="2" spans="1:7" ht="11.25" customHeight="1">
      <c r="A2" s="523" t="s">
        <v>416</v>
      </c>
      <c r="B2" s="523"/>
      <c r="C2" s="523"/>
      <c r="D2" s="523"/>
      <c r="E2" s="523"/>
      <c r="F2" s="523"/>
      <c r="G2" s="523"/>
    </row>
    <row r="3" spans="1:7" ht="11.25" customHeight="1">
      <c r="A3" s="523" t="s">
        <v>245</v>
      </c>
      <c r="B3" s="523"/>
      <c r="C3" s="523"/>
      <c r="D3" s="523"/>
      <c r="E3" s="523"/>
      <c r="F3" s="523"/>
      <c r="G3" s="523"/>
    </row>
    <row r="4" spans="1:7" ht="11.25" customHeight="1">
      <c r="A4" s="524" t="s">
        <v>312</v>
      </c>
      <c r="B4" s="524"/>
      <c r="C4" s="524"/>
      <c r="D4" s="524"/>
      <c r="E4" s="524"/>
      <c r="F4" s="524"/>
      <c r="G4" s="524"/>
    </row>
    <row r="5" spans="1:7" ht="11.25" customHeight="1">
      <c r="A5" s="523" t="s">
        <v>406</v>
      </c>
      <c r="B5" s="523"/>
      <c r="C5" s="523"/>
      <c r="D5" s="523"/>
      <c r="E5" s="523"/>
      <c r="F5" s="523"/>
      <c r="G5" s="523"/>
    </row>
    <row r="6" spans="1:7" ht="11.25" customHeight="1">
      <c r="A6" s="525"/>
      <c r="B6" s="525"/>
      <c r="C6" s="525"/>
      <c r="D6" s="525"/>
      <c r="E6" s="525"/>
      <c r="F6" s="525"/>
      <c r="G6" s="526"/>
    </row>
    <row r="7" spans="1:7" s="125" customFormat="1" ht="11.25" customHeight="1">
      <c r="A7" s="527" t="s">
        <v>313</v>
      </c>
      <c r="B7" s="527"/>
      <c r="C7" s="527"/>
      <c r="D7" s="528"/>
      <c r="E7" s="123"/>
      <c r="F7" s="123"/>
      <c r="G7" s="124">
        <v>1</v>
      </c>
    </row>
    <row r="8" spans="1:7" s="125" customFormat="1" ht="11.25" customHeight="1">
      <c r="A8" s="529" t="s">
        <v>314</v>
      </c>
      <c r="B8" s="530"/>
      <c r="C8" s="530"/>
      <c r="D8" s="531"/>
      <c r="E8" s="512">
        <v>2014</v>
      </c>
      <c r="F8" s="512">
        <f>E8+1</f>
        <v>2015</v>
      </c>
      <c r="G8" s="512">
        <f>F8+1</f>
        <v>2016</v>
      </c>
    </row>
    <row r="9" spans="1:7" ht="11.25" customHeight="1">
      <c r="A9" s="517"/>
      <c r="B9" s="517"/>
      <c r="C9" s="517"/>
      <c r="D9" s="518"/>
      <c r="E9" s="513"/>
      <c r="F9" s="513"/>
      <c r="G9" s="513"/>
    </row>
    <row r="10" spans="1:7" ht="11.25" customHeight="1">
      <c r="A10" s="258" t="s">
        <v>315</v>
      </c>
      <c r="B10" s="259"/>
      <c r="C10" s="259"/>
      <c r="D10" s="260"/>
      <c r="E10" s="263">
        <f>E11+E21+E25</f>
        <v>2979740.5999999996</v>
      </c>
      <c r="F10" s="263">
        <f>F11+F21+F25</f>
        <v>3507364.33</v>
      </c>
      <c r="G10" s="263">
        <f>G11+G21+G25</f>
        <v>4032775.0799999996</v>
      </c>
    </row>
    <row r="11" spans="1:7" ht="11.25" customHeight="1">
      <c r="A11" s="506" t="s">
        <v>246</v>
      </c>
      <c r="B11" s="506"/>
      <c r="C11" s="506"/>
      <c r="D11" s="507"/>
      <c r="E11" s="264">
        <f>E12+E15+E16+E17+E18</f>
        <v>2842935.8699999996</v>
      </c>
      <c r="F11" s="264">
        <f>F12+F15+F16+F17+F18</f>
        <v>3337735.29</v>
      </c>
      <c r="G11" s="264">
        <f>G12+G15+G16+G17+G18</f>
        <v>3851752.53</v>
      </c>
    </row>
    <row r="12" spans="1:7" ht="11.25" customHeight="1">
      <c r="A12" s="502" t="s">
        <v>316</v>
      </c>
      <c r="B12" s="502"/>
      <c r="C12" s="502"/>
      <c r="D12" s="503"/>
      <c r="E12" s="265">
        <f>E13+E14</f>
        <v>983243.96</v>
      </c>
      <c r="F12" s="265">
        <f>F13+F14</f>
        <v>1118711.34</v>
      </c>
      <c r="G12" s="265">
        <f>G13+G14</f>
        <v>988155.69</v>
      </c>
    </row>
    <row r="13" spans="1:7" ht="11.25" customHeight="1">
      <c r="A13" s="502" t="s">
        <v>248</v>
      </c>
      <c r="B13" s="502"/>
      <c r="C13" s="502"/>
      <c r="D13" s="503"/>
      <c r="E13" s="265">
        <v>983243.96</v>
      </c>
      <c r="F13" s="265">
        <v>1118711.34</v>
      </c>
      <c r="G13" s="265">
        <v>988155.69</v>
      </c>
    </row>
    <row r="14" spans="1:7" ht="11.25" customHeight="1">
      <c r="A14" s="502" t="s">
        <v>249</v>
      </c>
      <c r="B14" s="502"/>
      <c r="C14" s="502"/>
      <c r="D14" s="503"/>
      <c r="E14" s="265"/>
      <c r="F14" s="265"/>
      <c r="G14" s="265"/>
    </row>
    <row r="15" spans="1:7" ht="11.25" customHeight="1">
      <c r="A15" s="126" t="s">
        <v>317</v>
      </c>
      <c r="B15" s="127"/>
      <c r="C15" s="127"/>
      <c r="D15" s="128"/>
      <c r="E15" s="265">
        <v>1492.06</v>
      </c>
      <c r="F15" s="265">
        <v>3992.06</v>
      </c>
      <c r="G15" s="265">
        <v>0</v>
      </c>
    </row>
    <row r="16" spans="1:7" ht="11.25" customHeight="1">
      <c r="A16" s="502" t="s">
        <v>250</v>
      </c>
      <c r="B16" s="502"/>
      <c r="C16" s="502"/>
      <c r="D16" s="503"/>
      <c r="E16" s="265">
        <v>1835604.49</v>
      </c>
      <c r="F16" s="265">
        <v>2192260.4</v>
      </c>
      <c r="G16" s="265">
        <v>2832698.38</v>
      </c>
    </row>
    <row r="17" spans="1:7" ht="11.25" customHeight="1">
      <c r="A17" s="502" t="s">
        <v>251</v>
      </c>
      <c r="B17" s="502"/>
      <c r="C17" s="502"/>
      <c r="D17" s="503"/>
      <c r="E17" s="265"/>
      <c r="F17" s="265"/>
      <c r="G17" s="265"/>
    </row>
    <row r="18" spans="1:7" ht="11.25" customHeight="1">
      <c r="A18" s="502" t="s">
        <v>252</v>
      </c>
      <c r="B18" s="502"/>
      <c r="C18" s="502"/>
      <c r="D18" s="503"/>
      <c r="E18" s="265">
        <f>E19+E20</f>
        <v>22595.36</v>
      </c>
      <c r="F18" s="265">
        <f>F19+F20</f>
        <v>22771.49</v>
      </c>
      <c r="G18" s="265">
        <f>G19+G20</f>
        <v>30898.46</v>
      </c>
    </row>
    <row r="19" spans="1:7" ht="11.25" customHeight="1">
      <c r="A19" s="519" t="s">
        <v>253</v>
      </c>
      <c r="B19" s="520"/>
      <c r="C19" s="520"/>
      <c r="D19" s="521"/>
      <c r="E19" s="265"/>
      <c r="F19" s="265"/>
      <c r="G19" s="265"/>
    </row>
    <row r="20" spans="1:7" ht="11.25" customHeight="1">
      <c r="A20" s="502" t="s">
        <v>254</v>
      </c>
      <c r="B20" s="502"/>
      <c r="C20" s="502"/>
      <c r="D20" s="503"/>
      <c r="E20" s="265">
        <v>22595.36</v>
      </c>
      <c r="F20" s="265">
        <v>22771.49</v>
      </c>
      <c r="G20" s="265">
        <v>30898.46</v>
      </c>
    </row>
    <row r="21" spans="1:7" ht="11.25" customHeight="1">
      <c r="A21" s="506" t="s">
        <v>255</v>
      </c>
      <c r="B21" s="506"/>
      <c r="C21" s="506"/>
      <c r="D21" s="507"/>
      <c r="E21" s="264">
        <f>E22+E23+E24</f>
        <v>136804.73</v>
      </c>
      <c r="F21" s="264">
        <f>F22+F23+F24</f>
        <v>169629.04</v>
      </c>
      <c r="G21" s="264">
        <f>G22+G23+G24</f>
        <v>181022.55</v>
      </c>
    </row>
    <row r="22" spans="1:7" ht="11.25" customHeight="1">
      <c r="A22" s="502" t="s">
        <v>318</v>
      </c>
      <c r="B22" s="502"/>
      <c r="C22" s="502"/>
      <c r="D22" s="503"/>
      <c r="E22" s="265"/>
      <c r="F22" s="265"/>
      <c r="G22" s="265"/>
    </row>
    <row r="23" spans="1:7" ht="11.25" customHeight="1">
      <c r="A23" s="126" t="s">
        <v>256</v>
      </c>
      <c r="B23" s="127"/>
      <c r="C23" s="127"/>
      <c r="D23" s="128"/>
      <c r="E23" s="265">
        <v>136804.73</v>
      </c>
      <c r="F23" s="265">
        <v>169629.04</v>
      </c>
      <c r="G23" s="265">
        <v>181022.55</v>
      </c>
    </row>
    <row r="24" spans="1:7" ht="11.25" customHeight="1">
      <c r="A24" s="502" t="s">
        <v>257</v>
      </c>
      <c r="B24" s="502"/>
      <c r="C24" s="502"/>
      <c r="D24" s="503"/>
      <c r="E24" s="265"/>
      <c r="F24" s="265"/>
      <c r="G24" s="265"/>
    </row>
    <row r="25" spans="1:7" ht="11.25" customHeight="1">
      <c r="A25" s="258" t="s">
        <v>319</v>
      </c>
      <c r="B25" s="261"/>
      <c r="C25" s="261"/>
      <c r="D25" s="262"/>
      <c r="E25" s="264"/>
      <c r="F25" s="264"/>
      <c r="G25" s="264"/>
    </row>
    <row r="26" spans="1:7" ht="11.25" customHeight="1">
      <c r="A26" s="258" t="s">
        <v>320</v>
      </c>
      <c r="B26" s="261"/>
      <c r="C26" s="261"/>
      <c r="D26" s="262"/>
      <c r="E26" s="264">
        <f>E27+E37+E38</f>
        <v>196832.41</v>
      </c>
      <c r="F26" s="264">
        <f>F27+F37+F38</f>
        <v>272994.3</v>
      </c>
      <c r="G26" s="264">
        <f>G27+G37+G38</f>
        <v>223698.94</v>
      </c>
    </row>
    <row r="27" spans="1:7" ht="11.25" customHeight="1">
      <c r="A27" s="506" t="s">
        <v>246</v>
      </c>
      <c r="B27" s="506"/>
      <c r="C27" s="506"/>
      <c r="D27" s="507"/>
      <c r="E27" s="264">
        <f>E28+E34+E35+E36</f>
        <v>196832.41</v>
      </c>
      <c r="F27" s="264">
        <f>F28+F34+F35+F36</f>
        <v>272994.3</v>
      </c>
      <c r="G27" s="264">
        <f>G28+G34+G35+G36</f>
        <v>223698.94</v>
      </c>
    </row>
    <row r="28" spans="1:7" ht="11.25" customHeight="1">
      <c r="A28" s="502" t="s">
        <v>247</v>
      </c>
      <c r="B28" s="502"/>
      <c r="C28" s="502"/>
      <c r="D28" s="503"/>
      <c r="E28" s="265">
        <f>E29+E32+E33</f>
        <v>196832.41</v>
      </c>
      <c r="F28" s="265">
        <f>F29+F32+F33</f>
        <v>272994.3</v>
      </c>
      <c r="G28" s="265">
        <f>G29+G32+G33</f>
        <v>223698.94</v>
      </c>
    </row>
    <row r="29" spans="1:7" ht="11.25" customHeight="1">
      <c r="A29" s="127" t="s">
        <v>321</v>
      </c>
      <c r="B29" s="127"/>
      <c r="C29" s="127"/>
      <c r="D29" s="128"/>
      <c r="E29" s="265">
        <f>E30+E31</f>
        <v>0</v>
      </c>
      <c r="F29" s="265">
        <f>F30+F31</f>
        <v>0</v>
      </c>
      <c r="G29" s="265">
        <f>G30+G31</f>
        <v>0</v>
      </c>
    </row>
    <row r="30" spans="1:7" ht="11.25" customHeight="1">
      <c r="A30" s="502" t="s">
        <v>322</v>
      </c>
      <c r="B30" s="502"/>
      <c r="C30" s="502"/>
      <c r="D30" s="503"/>
      <c r="E30" s="265">
        <v>0</v>
      </c>
      <c r="F30" s="265">
        <v>0</v>
      </c>
      <c r="G30" s="265">
        <v>0</v>
      </c>
    </row>
    <row r="31" spans="1:7" ht="11.25" customHeight="1">
      <c r="A31" s="502" t="s">
        <v>323</v>
      </c>
      <c r="B31" s="502"/>
      <c r="C31" s="502"/>
      <c r="D31" s="503"/>
      <c r="E31" s="265"/>
      <c r="F31" s="265"/>
      <c r="G31" s="265"/>
    </row>
    <row r="32" spans="1:7" ht="11.25" customHeight="1">
      <c r="A32" s="502" t="s">
        <v>324</v>
      </c>
      <c r="B32" s="502"/>
      <c r="C32" s="502"/>
      <c r="D32" s="503"/>
      <c r="E32" s="265">
        <v>196832.41</v>
      </c>
      <c r="F32" s="265">
        <v>272994.3</v>
      </c>
      <c r="G32" s="265">
        <v>223698.94</v>
      </c>
    </row>
    <row r="33" spans="1:7" ht="11.25" customHeight="1">
      <c r="A33" s="502" t="s">
        <v>325</v>
      </c>
      <c r="B33" s="502"/>
      <c r="C33" s="502"/>
      <c r="D33" s="503"/>
      <c r="E33" s="265"/>
      <c r="F33" s="265"/>
      <c r="G33" s="265"/>
    </row>
    <row r="34" spans="1:7" ht="11.25" customHeight="1">
      <c r="A34" s="502" t="s">
        <v>250</v>
      </c>
      <c r="B34" s="502"/>
      <c r="C34" s="502"/>
      <c r="D34" s="503"/>
      <c r="E34" s="265"/>
      <c r="F34" s="265"/>
      <c r="G34" s="265"/>
    </row>
    <row r="35" spans="1:7" ht="11.25" customHeight="1">
      <c r="A35" s="126" t="s">
        <v>251</v>
      </c>
      <c r="B35" s="127"/>
      <c r="C35" s="127"/>
      <c r="D35" s="128"/>
      <c r="E35" s="265"/>
      <c r="F35" s="265"/>
      <c r="G35" s="265"/>
    </row>
    <row r="36" spans="1:7" ht="11.25" customHeight="1">
      <c r="A36" s="502" t="s">
        <v>252</v>
      </c>
      <c r="B36" s="502"/>
      <c r="C36" s="502"/>
      <c r="D36" s="503"/>
      <c r="E36" s="265"/>
      <c r="F36" s="265"/>
      <c r="G36" s="265"/>
    </row>
    <row r="37" spans="1:7" ht="11.25" customHeight="1">
      <c r="A37" s="506" t="s">
        <v>255</v>
      </c>
      <c r="B37" s="506"/>
      <c r="C37" s="506"/>
      <c r="D37" s="507"/>
      <c r="E37" s="264"/>
      <c r="F37" s="264"/>
      <c r="G37" s="264"/>
    </row>
    <row r="38" spans="1:7" ht="11.25" customHeight="1">
      <c r="A38" s="506" t="s">
        <v>319</v>
      </c>
      <c r="B38" s="506"/>
      <c r="C38" s="506"/>
      <c r="D38" s="507"/>
      <c r="E38" s="264"/>
      <c r="F38" s="264"/>
      <c r="G38" s="264"/>
    </row>
    <row r="39" spans="1:7" ht="11.25" customHeight="1">
      <c r="A39" s="510" t="s">
        <v>326</v>
      </c>
      <c r="B39" s="510"/>
      <c r="C39" s="510"/>
      <c r="D39" s="511"/>
      <c r="E39" s="266">
        <f>E10+E26</f>
        <v>3176573.01</v>
      </c>
      <c r="F39" s="266">
        <f>F10+F26</f>
        <v>3780358.63</v>
      </c>
      <c r="G39" s="266">
        <f>G10+G26</f>
        <v>4256474.02</v>
      </c>
    </row>
    <row r="40" spans="1:7" s="125" customFormat="1" ht="11.25" customHeight="1">
      <c r="A40" s="251"/>
      <c r="B40" s="251"/>
      <c r="C40" s="251"/>
      <c r="D40" s="251"/>
      <c r="E40" s="252"/>
      <c r="F40" s="252"/>
      <c r="G40" s="252"/>
    </row>
    <row r="41" spans="1:7" s="125" customFormat="1" ht="11.25" customHeight="1">
      <c r="A41" s="514" t="s">
        <v>327</v>
      </c>
      <c r="B41" s="515"/>
      <c r="C41" s="515"/>
      <c r="D41" s="516"/>
      <c r="E41" s="512">
        <v>2014</v>
      </c>
      <c r="F41" s="512">
        <f>E41+1</f>
        <v>2015</v>
      </c>
      <c r="G41" s="512">
        <f>F41+1</f>
        <v>2016</v>
      </c>
    </row>
    <row r="42" spans="1:7" ht="11.25" customHeight="1">
      <c r="A42" s="517"/>
      <c r="B42" s="517"/>
      <c r="C42" s="517"/>
      <c r="D42" s="518"/>
      <c r="E42" s="513"/>
      <c r="F42" s="513"/>
      <c r="G42" s="513"/>
    </row>
    <row r="43" spans="1:7" ht="11.25" customHeight="1">
      <c r="A43" s="258" t="s">
        <v>328</v>
      </c>
      <c r="B43" s="267"/>
      <c r="C43" s="267"/>
      <c r="D43" s="268"/>
      <c r="E43" s="263">
        <f>E44+E47</f>
        <v>985406.48</v>
      </c>
      <c r="F43" s="263">
        <f>F44+F47</f>
        <v>1159463.66</v>
      </c>
      <c r="G43" s="263">
        <f>G44+G47</f>
        <v>1511682.61</v>
      </c>
    </row>
    <row r="44" spans="1:7" ht="11.25" customHeight="1">
      <c r="A44" s="506" t="s">
        <v>258</v>
      </c>
      <c r="B44" s="506"/>
      <c r="C44" s="506"/>
      <c r="D44" s="507"/>
      <c r="E44" s="264">
        <f>E45+E46</f>
        <v>12555.9</v>
      </c>
      <c r="F44" s="264">
        <f>F45+F46</f>
        <v>15801.49</v>
      </c>
      <c r="G44" s="264">
        <f>G45+G46</f>
        <v>16057.65</v>
      </c>
    </row>
    <row r="45" spans="1:7" ht="11.25" customHeight="1">
      <c r="A45" s="502" t="s">
        <v>259</v>
      </c>
      <c r="B45" s="502"/>
      <c r="C45" s="502"/>
      <c r="D45" s="503"/>
      <c r="E45" s="265">
        <v>12555.9</v>
      </c>
      <c r="F45" s="265">
        <v>15801.49</v>
      </c>
      <c r="G45" s="265">
        <v>16057.65</v>
      </c>
    </row>
    <row r="46" spans="1:7" ht="11.25" customHeight="1">
      <c r="A46" s="502" t="s">
        <v>260</v>
      </c>
      <c r="B46" s="502"/>
      <c r="C46" s="502"/>
      <c r="D46" s="503"/>
      <c r="E46" s="265"/>
      <c r="F46" s="265"/>
      <c r="G46" s="265"/>
    </row>
    <row r="47" spans="1:7" ht="11.25" customHeight="1">
      <c r="A47" s="506" t="s">
        <v>329</v>
      </c>
      <c r="B47" s="506"/>
      <c r="C47" s="506"/>
      <c r="D47" s="507"/>
      <c r="E47" s="264">
        <f>E48+E49+E50</f>
        <v>972850.58</v>
      </c>
      <c r="F47" s="264">
        <f>F48+F49+F50</f>
        <v>1143662.17</v>
      </c>
      <c r="G47" s="264">
        <f>G48+G49+G50</f>
        <v>1495624.9600000002</v>
      </c>
    </row>
    <row r="48" spans="1:7" ht="11.25" customHeight="1">
      <c r="A48" s="502" t="s">
        <v>147</v>
      </c>
      <c r="B48" s="502"/>
      <c r="C48" s="502"/>
      <c r="D48" s="503"/>
      <c r="E48" s="265">
        <v>886736.97</v>
      </c>
      <c r="F48" s="265">
        <v>1071280.04</v>
      </c>
      <c r="G48" s="265">
        <v>1395345.6</v>
      </c>
    </row>
    <row r="49" spans="1:7" ht="11.25" customHeight="1">
      <c r="A49" s="502" t="s">
        <v>261</v>
      </c>
      <c r="B49" s="502"/>
      <c r="C49" s="502"/>
      <c r="D49" s="503"/>
      <c r="E49" s="265"/>
      <c r="F49" s="265"/>
      <c r="G49" s="265"/>
    </row>
    <row r="50" spans="1:7" ht="11.25" customHeight="1">
      <c r="A50" s="502" t="s">
        <v>262</v>
      </c>
      <c r="B50" s="502"/>
      <c r="C50" s="502"/>
      <c r="D50" s="503"/>
      <c r="E50" s="265">
        <f>E51+E52</f>
        <v>86113.61</v>
      </c>
      <c r="F50" s="265">
        <f>F51+F52</f>
        <v>72382.13</v>
      </c>
      <c r="G50" s="265">
        <f>G51+G52</f>
        <v>100279.36</v>
      </c>
    </row>
    <row r="51" spans="1:7" s="125" customFormat="1" ht="11.25" customHeight="1">
      <c r="A51" s="502" t="s">
        <v>263</v>
      </c>
      <c r="B51" s="502"/>
      <c r="C51" s="502"/>
      <c r="D51" s="503"/>
      <c r="E51" s="265"/>
      <c r="F51" s="265"/>
      <c r="G51" s="265"/>
    </row>
    <row r="52" spans="1:7" ht="11.25" customHeight="1">
      <c r="A52" s="502" t="s">
        <v>264</v>
      </c>
      <c r="B52" s="502"/>
      <c r="C52" s="502"/>
      <c r="D52" s="503"/>
      <c r="E52" s="265">
        <v>86113.61</v>
      </c>
      <c r="F52" s="265">
        <v>72382.13</v>
      </c>
      <c r="G52" s="265">
        <v>100279.36</v>
      </c>
    </row>
    <row r="53" spans="1:7" ht="11.25" customHeight="1">
      <c r="A53" s="258" t="s">
        <v>330</v>
      </c>
      <c r="B53" s="267"/>
      <c r="C53" s="267"/>
      <c r="D53" s="268"/>
      <c r="E53" s="263">
        <f>E54</f>
        <v>0</v>
      </c>
      <c r="F53" s="263">
        <f>F54</f>
        <v>0</v>
      </c>
      <c r="G53" s="263">
        <f>G54</f>
        <v>0</v>
      </c>
    </row>
    <row r="54" spans="1:7" ht="11.25" customHeight="1">
      <c r="A54" s="506" t="s">
        <v>258</v>
      </c>
      <c r="B54" s="506"/>
      <c r="C54" s="506"/>
      <c r="D54" s="507"/>
      <c r="E54" s="264">
        <f>E55+E56</f>
        <v>0</v>
      </c>
      <c r="F54" s="264">
        <f>F55+F56</f>
        <v>0</v>
      </c>
      <c r="G54" s="264">
        <f>G55+G56</f>
        <v>0</v>
      </c>
    </row>
    <row r="55" spans="1:7" ht="11.25" customHeight="1">
      <c r="A55" s="502" t="s">
        <v>259</v>
      </c>
      <c r="B55" s="502"/>
      <c r="C55" s="502"/>
      <c r="D55" s="503"/>
      <c r="E55" s="265"/>
      <c r="F55" s="265"/>
      <c r="G55" s="265"/>
    </row>
    <row r="56" spans="1:7" ht="11.25" customHeight="1">
      <c r="A56" s="508" t="s">
        <v>260</v>
      </c>
      <c r="B56" s="508"/>
      <c r="C56" s="508"/>
      <c r="D56" s="509"/>
      <c r="E56" s="269"/>
      <c r="F56" s="269"/>
      <c r="G56" s="269"/>
    </row>
    <row r="57" spans="1:7" ht="11.25" customHeight="1">
      <c r="A57" s="510" t="s">
        <v>331</v>
      </c>
      <c r="B57" s="510"/>
      <c r="C57" s="510"/>
      <c r="D57" s="511"/>
      <c r="E57" s="271">
        <f>E43+E53</f>
        <v>985406.48</v>
      </c>
      <c r="F57" s="271">
        <f>F43+F53</f>
        <v>1159463.66</v>
      </c>
      <c r="G57" s="271">
        <f>G43+G53</f>
        <v>1511682.61</v>
      </c>
    </row>
    <row r="58" spans="1:7" ht="11.25" customHeight="1">
      <c r="A58" s="243"/>
      <c r="B58" s="243"/>
      <c r="C58" s="243"/>
      <c r="D58" s="243"/>
      <c r="E58" s="270"/>
      <c r="F58" s="270"/>
      <c r="G58" s="270"/>
    </row>
    <row r="59" spans="1:7" ht="11.25" customHeight="1">
      <c r="A59" s="504" t="s">
        <v>332</v>
      </c>
      <c r="B59" s="504"/>
      <c r="C59" s="504"/>
      <c r="D59" s="505"/>
      <c r="E59" s="272">
        <f>E39-E57</f>
        <v>2191166.53</v>
      </c>
      <c r="F59" s="272">
        <f>F39-F57</f>
        <v>2620894.9699999997</v>
      </c>
      <c r="G59" s="272">
        <f>G39-G57</f>
        <v>2744791.409999999</v>
      </c>
    </row>
    <row r="60" spans="1:7" ht="11.25" customHeight="1">
      <c r="A60" s="243"/>
      <c r="B60" s="243"/>
      <c r="C60" s="243"/>
      <c r="D60" s="243"/>
      <c r="E60" s="253"/>
      <c r="F60" s="253"/>
      <c r="G60" s="253"/>
    </row>
    <row r="61" spans="1:7" ht="11.25" customHeight="1">
      <c r="A61" s="536" t="s">
        <v>333</v>
      </c>
      <c r="B61" s="537"/>
      <c r="C61" s="537"/>
      <c r="D61" s="538"/>
      <c r="E61" s="512">
        <v>2014</v>
      </c>
      <c r="F61" s="512">
        <f>E61+1</f>
        <v>2015</v>
      </c>
      <c r="G61" s="541">
        <f>F61+1</f>
        <v>2016</v>
      </c>
    </row>
    <row r="62" spans="1:7" ht="11.25" customHeight="1">
      <c r="A62" s="539"/>
      <c r="B62" s="539"/>
      <c r="C62" s="539"/>
      <c r="D62" s="540"/>
      <c r="E62" s="513"/>
      <c r="F62" s="513"/>
      <c r="G62" s="542"/>
    </row>
    <row r="63" spans="1:7" ht="11.25" customHeight="1">
      <c r="A63" s="254" t="s">
        <v>334</v>
      </c>
      <c r="B63" s="251"/>
      <c r="C63" s="251"/>
      <c r="D63" s="255"/>
      <c r="E63" s="265">
        <f>E64+E68</f>
        <v>0</v>
      </c>
      <c r="F63" s="265">
        <f>F64+F68</f>
        <v>0</v>
      </c>
      <c r="G63" s="265">
        <f>G64+G68</f>
        <v>0</v>
      </c>
    </row>
    <row r="64" spans="1:7" ht="11.25" customHeight="1">
      <c r="A64" s="126" t="s">
        <v>335</v>
      </c>
      <c r="B64" s="127"/>
      <c r="C64" s="127"/>
      <c r="D64" s="128"/>
      <c r="E64" s="265">
        <f>E65+E66+E67</f>
        <v>0</v>
      </c>
      <c r="F64" s="265">
        <f>F65+F66+F67</f>
        <v>0</v>
      </c>
      <c r="G64" s="265">
        <f>G65+G66+G67</f>
        <v>0</v>
      </c>
    </row>
    <row r="65" spans="1:7" ht="11.25" customHeight="1">
      <c r="A65" s="126" t="s">
        <v>336</v>
      </c>
      <c r="B65" s="127"/>
      <c r="C65" s="127"/>
      <c r="D65" s="128"/>
      <c r="E65" s="265"/>
      <c r="F65" s="265"/>
      <c r="G65" s="265"/>
    </row>
    <row r="66" spans="1:7" ht="11.25" customHeight="1">
      <c r="A66" s="126" t="s">
        <v>337</v>
      </c>
      <c r="B66" s="127"/>
      <c r="C66" s="127"/>
      <c r="D66" s="128"/>
      <c r="E66" s="265"/>
      <c r="F66" s="265"/>
      <c r="G66" s="265"/>
    </row>
    <row r="67" spans="1:7" ht="11.25" customHeight="1">
      <c r="A67" s="126" t="s">
        <v>338</v>
      </c>
      <c r="B67" s="127"/>
      <c r="C67" s="127"/>
      <c r="D67" s="128"/>
      <c r="E67" s="265"/>
      <c r="F67" s="265"/>
      <c r="G67" s="265"/>
    </row>
    <row r="68" spans="1:7" ht="11.25" customHeight="1">
      <c r="A68" s="126" t="s">
        <v>339</v>
      </c>
      <c r="B68" s="127"/>
      <c r="C68" s="127"/>
      <c r="D68" s="128"/>
      <c r="E68" s="265">
        <f>E69+E70+E71</f>
        <v>0</v>
      </c>
      <c r="F68" s="265">
        <f>F69+F70+F71</f>
        <v>0</v>
      </c>
      <c r="G68" s="265">
        <f>G69+G70+G71</f>
        <v>0</v>
      </c>
    </row>
    <row r="69" spans="1:7" ht="11.25" customHeight="1">
      <c r="A69" s="126" t="s">
        <v>340</v>
      </c>
      <c r="B69" s="127"/>
      <c r="C69" s="127"/>
      <c r="D69" s="128"/>
      <c r="E69" s="265"/>
      <c r="F69" s="265"/>
      <c r="G69" s="265"/>
    </row>
    <row r="70" spans="1:7" ht="11.25" customHeight="1">
      <c r="A70" s="126" t="s">
        <v>341</v>
      </c>
      <c r="B70" s="127"/>
      <c r="C70" s="127"/>
      <c r="D70" s="128"/>
      <c r="E70" s="265"/>
      <c r="F70" s="265"/>
      <c r="G70" s="265"/>
    </row>
    <row r="71" spans="1:7" ht="11.25" customHeight="1">
      <c r="A71" s="256" t="s">
        <v>338</v>
      </c>
      <c r="B71" s="241"/>
      <c r="C71" s="241"/>
      <c r="D71" s="242"/>
      <c r="E71" s="269"/>
      <c r="F71" s="269"/>
      <c r="G71" s="269"/>
    </row>
    <row r="72" spans="1:7" ht="11.25" customHeight="1">
      <c r="A72" s="243"/>
      <c r="B72" s="243"/>
      <c r="C72" s="243"/>
      <c r="D72" s="243"/>
      <c r="E72" s="253"/>
      <c r="F72" s="253"/>
      <c r="G72" s="253"/>
    </row>
    <row r="73" spans="1:7" ht="11.25" customHeight="1">
      <c r="A73" s="257" t="s">
        <v>342</v>
      </c>
      <c r="B73" s="243"/>
      <c r="C73" s="243"/>
      <c r="D73" s="244"/>
      <c r="E73" s="310">
        <v>1951071.27</v>
      </c>
      <c r="F73" s="310">
        <v>1973000</v>
      </c>
      <c r="G73" s="311">
        <v>1631000</v>
      </c>
    </row>
    <row r="74" spans="1:7" ht="11.25" customHeight="1">
      <c r="A74" s="532" t="s">
        <v>343</v>
      </c>
      <c r="B74" s="532"/>
      <c r="C74" s="532"/>
      <c r="D74" s="533"/>
      <c r="E74" s="312"/>
      <c r="F74" s="312"/>
      <c r="G74" s="313"/>
    </row>
    <row r="75" spans="1:7" ht="11.25" customHeight="1">
      <c r="A75" s="534" t="str">
        <f>Dívida!A21</f>
        <v>Fonte: Sistema Betha Sistemas, Unidade Responsável Contabilidade, Data da emissão 20/06/2017 e hora de emissão 08:34</v>
      </c>
      <c r="B75" s="535"/>
      <c r="C75" s="535"/>
      <c r="D75" s="535"/>
      <c r="E75" s="535"/>
      <c r="F75" s="535"/>
      <c r="G75" s="535"/>
    </row>
  </sheetData>
  <sheetProtection/>
  <mergeCells count="58">
    <mergeCell ref="A7:D7"/>
    <mergeCell ref="A12:D12"/>
    <mergeCell ref="A8:D9"/>
    <mergeCell ref="A74:D74"/>
    <mergeCell ref="A75:G75"/>
    <mergeCell ref="A61:D62"/>
    <mergeCell ref="E61:E62"/>
    <mergeCell ref="F61:F62"/>
    <mergeCell ref="G61:G62"/>
    <mergeCell ref="E8:E9"/>
    <mergeCell ref="A1:G1"/>
    <mergeCell ref="A2:G2"/>
    <mergeCell ref="A3:G3"/>
    <mergeCell ref="A4:G4"/>
    <mergeCell ref="A5:G5"/>
    <mergeCell ref="A6:G6"/>
    <mergeCell ref="F8:F9"/>
    <mergeCell ref="G8:G9"/>
    <mergeCell ref="A11:D11"/>
    <mergeCell ref="A13:D13"/>
    <mergeCell ref="A14:D14"/>
    <mergeCell ref="A16:D16"/>
    <mergeCell ref="A17:D17"/>
    <mergeCell ref="A18:D18"/>
    <mergeCell ref="A19:D19"/>
    <mergeCell ref="A21:D21"/>
    <mergeCell ref="A20:D20"/>
    <mergeCell ref="A30:D30"/>
    <mergeCell ref="A31:D31"/>
    <mergeCell ref="A32:D32"/>
    <mergeCell ref="A34:D34"/>
    <mergeCell ref="A33:D33"/>
    <mergeCell ref="A22:D22"/>
    <mergeCell ref="A24:D24"/>
    <mergeCell ref="A27:D27"/>
    <mergeCell ref="A28:D28"/>
    <mergeCell ref="A36:D36"/>
    <mergeCell ref="A38:D38"/>
    <mergeCell ref="A37:D37"/>
    <mergeCell ref="A39:D39"/>
    <mergeCell ref="A41:D42"/>
    <mergeCell ref="E41:E42"/>
    <mergeCell ref="F41:F42"/>
    <mergeCell ref="G41:G42"/>
    <mergeCell ref="A44:D44"/>
    <mergeCell ref="A45:D45"/>
    <mergeCell ref="A46:D46"/>
    <mergeCell ref="A47:D47"/>
    <mergeCell ref="A48:D48"/>
    <mergeCell ref="A49:D49"/>
    <mergeCell ref="A50:D50"/>
    <mergeCell ref="A52:D52"/>
    <mergeCell ref="A51:D51"/>
    <mergeCell ref="A59:D59"/>
    <mergeCell ref="A54:D54"/>
    <mergeCell ref="A56:D56"/>
    <mergeCell ref="A57:D57"/>
    <mergeCell ref="A55:D55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68" r:id="rId2"/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view="pageBreakPreview" zoomScale="60" zoomScalePageLayoutView="0" workbookViewId="0" topLeftCell="A8">
      <selection activeCell="A5" sqref="A5:G5"/>
    </sheetView>
  </sheetViews>
  <sheetFormatPr defaultColWidth="9.140625" defaultRowHeight="11.25" customHeight="1"/>
  <cols>
    <col min="1" max="1" width="10.140625" style="122" customWidth="1"/>
    <col min="2" max="2" width="12.8515625" style="122" customWidth="1"/>
    <col min="3" max="3" width="9.421875" style="122" customWidth="1"/>
    <col min="4" max="4" width="22.28125" style="122" customWidth="1"/>
    <col min="5" max="5" width="12.8515625" style="122" customWidth="1"/>
    <col min="6" max="6" width="10.7109375" style="122" customWidth="1"/>
    <col min="7" max="7" width="15.421875" style="122" customWidth="1"/>
    <col min="8" max="8" width="12.8515625" style="122" customWidth="1"/>
    <col min="9" max="16384" width="9.140625" style="122" customWidth="1"/>
  </cols>
  <sheetData>
    <row r="1" spans="1:7" s="125" customFormat="1" ht="11.25" customHeight="1">
      <c r="A1" s="557" t="str">
        <f>Parâmetros!A7</f>
        <v>Município de : Boqueirão do Leão - RS</v>
      </c>
      <c r="B1" s="558"/>
      <c r="C1" s="558"/>
      <c r="D1" s="558"/>
      <c r="E1" s="558"/>
      <c r="F1" s="558"/>
      <c r="G1" s="559"/>
    </row>
    <row r="2" spans="1:8" ht="11.25" customHeight="1">
      <c r="A2" s="551" t="s">
        <v>416</v>
      </c>
      <c r="B2" s="523"/>
      <c r="C2" s="523"/>
      <c r="D2" s="523"/>
      <c r="E2" s="523"/>
      <c r="F2" s="523"/>
      <c r="G2" s="552"/>
      <c r="H2" s="129"/>
    </row>
    <row r="3" spans="1:8" ht="11.25" customHeight="1">
      <c r="A3" s="551" t="s">
        <v>245</v>
      </c>
      <c r="B3" s="523"/>
      <c r="C3" s="523"/>
      <c r="D3" s="523"/>
      <c r="E3" s="523"/>
      <c r="F3" s="523"/>
      <c r="G3" s="552"/>
      <c r="H3" s="129"/>
    </row>
    <row r="4" spans="1:8" ht="11.25" customHeight="1">
      <c r="A4" s="551" t="s">
        <v>406</v>
      </c>
      <c r="B4" s="523"/>
      <c r="C4" s="523"/>
      <c r="D4" s="523"/>
      <c r="E4" s="523"/>
      <c r="F4" s="523"/>
      <c r="G4" s="552"/>
      <c r="H4" s="129"/>
    </row>
    <row r="5" spans="1:8" ht="11.25" customHeight="1">
      <c r="A5" s="562" t="s">
        <v>265</v>
      </c>
      <c r="B5" s="563"/>
      <c r="C5" s="563"/>
      <c r="D5" s="563"/>
      <c r="E5" s="563"/>
      <c r="F5" s="563"/>
      <c r="G5" s="564"/>
      <c r="H5" s="129"/>
    </row>
    <row r="6" spans="1:8" ht="11.25" customHeight="1">
      <c r="A6" s="551"/>
      <c r="B6" s="523"/>
      <c r="C6" s="523"/>
      <c r="D6" s="523"/>
      <c r="E6" s="523"/>
      <c r="F6" s="523"/>
      <c r="G6" s="552"/>
      <c r="H6" s="130"/>
    </row>
    <row r="7" spans="1:7" ht="11.25" customHeight="1">
      <c r="A7" s="365" t="s">
        <v>266</v>
      </c>
      <c r="B7" s="127"/>
      <c r="C7" s="127"/>
      <c r="D7" s="127"/>
      <c r="E7" s="131"/>
      <c r="F7" s="131"/>
      <c r="G7" s="366">
        <v>1</v>
      </c>
    </row>
    <row r="8" spans="1:7" ht="11.25" customHeight="1">
      <c r="A8" s="367" t="s">
        <v>149</v>
      </c>
      <c r="B8" s="565" t="s">
        <v>146</v>
      </c>
      <c r="C8" s="566"/>
      <c r="D8" s="362" t="s">
        <v>148</v>
      </c>
      <c r="E8" s="567" t="s">
        <v>267</v>
      </c>
      <c r="F8" s="566"/>
      <c r="G8" s="368" t="s">
        <v>145</v>
      </c>
    </row>
    <row r="9" spans="1:7" ht="11.25" customHeight="1">
      <c r="A9" s="367"/>
      <c r="B9" s="442"/>
      <c r="C9" s="437"/>
      <c r="D9" s="362"/>
      <c r="E9" s="442"/>
      <c r="F9" s="437"/>
      <c r="G9" s="369" t="s">
        <v>268</v>
      </c>
    </row>
    <row r="10" spans="1:7" ht="11.25" customHeight="1">
      <c r="A10" s="370"/>
      <c r="B10" s="560" t="s">
        <v>105</v>
      </c>
      <c r="C10" s="561"/>
      <c r="D10" s="364" t="s">
        <v>107</v>
      </c>
      <c r="E10" s="560" t="s">
        <v>269</v>
      </c>
      <c r="F10" s="561"/>
      <c r="G10" s="371" t="s">
        <v>270</v>
      </c>
    </row>
    <row r="11" spans="1:7" ht="11.25" customHeight="1">
      <c r="A11" s="370"/>
      <c r="B11" s="553"/>
      <c r="C11" s="438"/>
      <c r="D11" s="364"/>
      <c r="E11" s="554"/>
      <c r="F11" s="555"/>
      <c r="G11" s="371" t="s">
        <v>271</v>
      </c>
    </row>
    <row r="12" spans="1:7" ht="11.25" customHeight="1">
      <c r="A12" s="372">
        <v>2017</v>
      </c>
      <c r="B12" s="556">
        <v>2303025.72</v>
      </c>
      <c r="C12" s="546"/>
      <c r="D12" s="314">
        <v>1704867.32</v>
      </c>
      <c r="E12" s="543">
        <f aca="true" t="shared" si="0" ref="E12:E17">B12-D12</f>
        <v>598158.4000000001</v>
      </c>
      <c r="F12" s="544"/>
      <c r="G12" s="373">
        <v>2532665.49</v>
      </c>
    </row>
    <row r="13" spans="1:7" ht="11.25" customHeight="1">
      <c r="A13" s="372">
        <v>2018</v>
      </c>
      <c r="B13" s="545">
        <v>2303025.72</v>
      </c>
      <c r="C13" s="546"/>
      <c r="D13" s="314">
        <v>1704867.32</v>
      </c>
      <c r="E13" s="543">
        <f t="shared" si="0"/>
        <v>598158.4000000001</v>
      </c>
      <c r="F13" s="544"/>
      <c r="G13" s="373">
        <f aca="true" t="shared" si="1" ref="G13:G43">G12+E13</f>
        <v>3130823.8900000006</v>
      </c>
    </row>
    <row r="14" spans="1:7" ht="11.25" customHeight="1">
      <c r="A14" s="372">
        <v>2019</v>
      </c>
      <c r="B14" s="545">
        <v>2303025.72</v>
      </c>
      <c r="C14" s="546"/>
      <c r="D14" s="314">
        <v>1704867.32</v>
      </c>
      <c r="E14" s="543">
        <f t="shared" si="0"/>
        <v>598158.4000000001</v>
      </c>
      <c r="F14" s="544"/>
      <c r="G14" s="373">
        <f t="shared" si="1"/>
        <v>3728982.290000001</v>
      </c>
    </row>
    <row r="15" spans="1:7" ht="11.25" customHeight="1">
      <c r="A15" s="372">
        <v>2020</v>
      </c>
      <c r="B15" s="545">
        <v>2107814.63</v>
      </c>
      <c r="C15" s="546"/>
      <c r="D15" s="314">
        <v>1771632.59</v>
      </c>
      <c r="E15" s="543">
        <f t="shared" si="0"/>
        <v>336182.0399999998</v>
      </c>
      <c r="F15" s="544"/>
      <c r="G15" s="373">
        <f t="shared" si="1"/>
        <v>4065164.330000001</v>
      </c>
    </row>
    <row r="16" spans="1:7" ht="11.25" customHeight="1">
      <c r="A16" s="372">
        <v>2021</v>
      </c>
      <c r="B16" s="545">
        <v>2107814.63</v>
      </c>
      <c r="C16" s="546"/>
      <c r="D16" s="314">
        <v>1771632.59</v>
      </c>
      <c r="E16" s="543">
        <f t="shared" si="0"/>
        <v>336182.0399999998</v>
      </c>
      <c r="F16" s="544"/>
      <c r="G16" s="373">
        <f t="shared" si="1"/>
        <v>4401346.370000001</v>
      </c>
    </row>
    <row r="17" spans="1:7" ht="11.25" customHeight="1">
      <c r="A17" s="372">
        <v>2022</v>
      </c>
      <c r="B17" s="545">
        <v>2112265.64</v>
      </c>
      <c r="C17" s="546"/>
      <c r="D17" s="314">
        <v>1816142.77</v>
      </c>
      <c r="E17" s="543">
        <f t="shared" si="0"/>
        <v>296122.8700000001</v>
      </c>
      <c r="F17" s="544"/>
      <c r="G17" s="373">
        <f t="shared" si="1"/>
        <v>4697469.240000001</v>
      </c>
    </row>
    <row r="18" spans="1:7" ht="11.25" customHeight="1">
      <c r="A18" s="372">
        <v>2023</v>
      </c>
      <c r="B18" s="545">
        <v>2118942.17</v>
      </c>
      <c r="C18" s="546"/>
      <c r="D18" s="314">
        <v>1882908.04</v>
      </c>
      <c r="E18" s="543">
        <f aca="true" t="shared" si="2" ref="E18:E27">B18-D18</f>
        <v>236034.1299999999</v>
      </c>
      <c r="F18" s="544"/>
      <c r="G18" s="373">
        <f t="shared" si="1"/>
        <v>4933503.370000001</v>
      </c>
    </row>
    <row r="19" spans="1:7" ht="11.25" customHeight="1">
      <c r="A19" s="372">
        <v>2024</v>
      </c>
      <c r="B19" s="545">
        <v>2121167.68</v>
      </c>
      <c r="C19" s="546"/>
      <c r="D19" s="314">
        <v>1905163.13</v>
      </c>
      <c r="E19" s="543">
        <f t="shared" si="2"/>
        <v>216004.55000000028</v>
      </c>
      <c r="F19" s="544"/>
      <c r="G19" s="373">
        <f t="shared" si="1"/>
        <v>5149507.920000002</v>
      </c>
    </row>
    <row r="20" spans="1:7" ht="11.25" customHeight="1">
      <c r="A20" s="372">
        <v>2025</v>
      </c>
      <c r="B20" s="545">
        <v>2125618.7</v>
      </c>
      <c r="C20" s="546"/>
      <c r="D20" s="314">
        <v>1949673.31</v>
      </c>
      <c r="E20" s="543">
        <f t="shared" si="2"/>
        <v>175945.39000000013</v>
      </c>
      <c r="F20" s="544"/>
      <c r="G20" s="373">
        <f t="shared" si="1"/>
        <v>5325453.310000002</v>
      </c>
    </row>
    <row r="21" spans="1:7" ht="11.25" customHeight="1">
      <c r="A21" s="372">
        <v>2026</v>
      </c>
      <c r="B21" s="545">
        <v>2138971.75</v>
      </c>
      <c r="C21" s="546"/>
      <c r="D21" s="314">
        <v>2083203.85</v>
      </c>
      <c r="E21" s="543">
        <f t="shared" si="2"/>
        <v>55767.89999999991</v>
      </c>
      <c r="F21" s="544"/>
      <c r="G21" s="373">
        <f t="shared" si="1"/>
        <v>5381221.210000003</v>
      </c>
    </row>
    <row r="22" spans="1:7" ht="11.25" customHeight="1">
      <c r="A22" s="372">
        <v>2027</v>
      </c>
      <c r="B22" s="545">
        <v>2143422.77</v>
      </c>
      <c r="C22" s="546"/>
      <c r="D22" s="314">
        <v>2127714.03</v>
      </c>
      <c r="E22" s="543">
        <f t="shared" si="2"/>
        <v>15708.740000000224</v>
      </c>
      <c r="F22" s="544"/>
      <c r="G22" s="373">
        <f t="shared" si="1"/>
        <v>5396929.950000003</v>
      </c>
    </row>
    <row r="23" spans="1:7" ht="11.25" customHeight="1">
      <c r="A23" s="372">
        <v>2028</v>
      </c>
      <c r="B23" s="545">
        <v>2145648.28</v>
      </c>
      <c r="C23" s="546"/>
      <c r="D23" s="314">
        <v>2149969.12</v>
      </c>
      <c r="E23" s="543">
        <f t="shared" si="2"/>
        <v>-4320.840000000317</v>
      </c>
      <c r="F23" s="544"/>
      <c r="G23" s="373">
        <f t="shared" si="1"/>
        <v>5392609.110000003</v>
      </c>
    </row>
    <row r="24" spans="1:7" ht="11.25" customHeight="1">
      <c r="A24" s="372">
        <v>2029</v>
      </c>
      <c r="B24" s="545">
        <v>2163452.35</v>
      </c>
      <c r="C24" s="546"/>
      <c r="D24" s="314">
        <v>2328009.84</v>
      </c>
      <c r="E24" s="543">
        <f t="shared" si="2"/>
        <v>-164557.48999999976</v>
      </c>
      <c r="F24" s="544"/>
      <c r="G24" s="373">
        <f t="shared" si="1"/>
        <v>5228051.620000003</v>
      </c>
    </row>
    <row r="25" spans="1:7" ht="11.25" customHeight="1">
      <c r="A25" s="372">
        <v>2030</v>
      </c>
      <c r="B25" s="545">
        <v>2174579.9</v>
      </c>
      <c r="C25" s="546"/>
      <c r="D25" s="314">
        <v>2439285.29</v>
      </c>
      <c r="E25" s="543">
        <f t="shared" si="2"/>
        <v>-264705.39000000013</v>
      </c>
      <c r="F25" s="544"/>
      <c r="G25" s="373">
        <f t="shared" si="1"/>
        <v>4963346.230000002</v>
      </c>
    </row>
    <row r="26" spans="1:7" ht="11.25" customHeight="1">
      <c r="A26" s="372">
        <v>2031</v>
      </c>
      <c r="B26" s="545">
        <v>2179030.91</v>
      </c>
      <c r="C26" s="546"/>
      <c r="D26" s="314">
        <v>2483795.47</v>
      </c>
      <c r="E26" s="543">
        <f t="shared" si="2"/>
        <v>-304764.56000000006</v>
      </c>
      <c r="F26" s="544"/>
      <c r="G26" s="373">
        <f t="shared" si="1"/>
        <v>4658581.670000002</v>
      </c>
    </row>
    <row r="27" spans="1:7" ht="11.25" customHeight="1">
      <c r="A27" s="372">
        <v>2032</v>
      </c>
      <c r="B27" s="545">
        <v>2183481.93</v>
      </c>
      <c r="C27" s="546"/>
      <c r="D27" s="314">
        <v>2528305.65</v>
      </c>
      <c r="E27" s="543">
        <f t="shared" si="2"/>
        <v>-344823.71999999974</v>
      </c>
      <c r="F27" s="544"/>
      <c r="G27" s="373">
        <f t="shared" si="1"/>
        <v>4313757.950000002</v>
      </c>
    </row>
    <row r="28" spans="1:7" ht="11.25" customHeight="1">
      <c r="A28" s="372">
        <v>2033</v>
      </c>
      <c r="B28" s="545">
        <v>2192383.97</v>
      </c>
      <c r="C28" s="546"/>
      <c r="D28" s="314">
        <v>2617326.01</v>
      </c>
      <c r="E28" s="543">
        <f aca="true" t="shared" si="3" ref="E28:E43">B28-D28</f>
        <v>-424942.0399999996</v>
      </c>
      <c r="F28" s="544"/>
      <c r="G28" s="373">
        <f t="shared" si="1"/>
        <v>3888815.9100000025</v>
      </c>
    </row>
    <row r="29" spans="1:7" ht="11.25" customHeight="1">
      <c r="A29" s="372">
        <v>2034</v>
      </c>
      <c r="B29" s="545">
        <v>2203511.51</v>
      </c>
      <c r="C29" s="546"/>
      <c r="D29" s="314">
        <v>2728601.46</v>
      </c>
      <c r="E29" s="543">
        <f t="shared" si="3"/>
        <v>-525089.9500000002</v>
      </c>
      <c r="F29" s="544"/>
      <c r="G29" s="373">
        <f t="shared" si="1"/>
        <v>3363725.9600000023</v>
      </c>
    </row>
    <row r="30" spans="1:7" ht="11.25" customHeight="1">
      <c r="A30" s="372">
        <v>2035</v>
      </c>
      <c r="B30" s="545">
        <v>2223541.09</v>
      </c>
      <c r="C30" s="546"/>
      <c r="D30" s="314">
        <v>2928897.27</v>
      </c>
      <c r="E30" s="543">
        <f t="shared" si="3"/>
        <v>-705356.1800000002</v>
      </c>
      <c r="F30" s="544"/>
      <c r="G30" s="373">
        <f t="shared" si="1"/>
        <v>2658369.780000002</v>
      </c>
    </row>
    <row r="31" spans="1:7" ht="11.25" customHeight="1">
      <c r="A31" s="372">
        <v>2036</v>
      </c>
      <c r="B31" s="545">
        <v>2227992.11</v>
      </c>
      <c r="C31" s="546"/>
      <c r="D31" s="314">
        <v>2973407.45</v>
      </c>
      <c r="E31" s="543">
        <f t="shared" si="3"/>
        <v>-745415.3400000003</v>
      </c>
      <c r="F31" s="544"/>
      <c r="G31" s="373">
        <f t="shared" si="1"/>
        <v>1912954.4400000018</v>
      </c>
    </row>
    <row r="32" spans="1:7" ht="11.25" customHeight="1">
      <c r="A32" s="372">
        <v>2037</v>
      </c>
      <c r="B32" s="545">
        <v>2241345.17</v>
      </c>
      <c r="C32" s="546"/>
      <c r="D32" s="314">
        <v>3106937.99</v>
      </c>
      <c r="E32" s="543">
        <f t="shared" si="3"/>
        <v>-865592.8200000003</v>
      </c>
      <c r="F32" s="544"/>
      <c r="G32" s="373">
        <f t="shared" si="1"/>
        <v>1047361.6200000015</v>
      </c>
    </row>
    <row r="33" spans="1:7" ht="11.25" customHeight="1">
      <c r="A33" s="372">
        <v>2038</v>
      </c>
      <c r="B33" s="545">
        <v>2259149.24</v>
      </c>
      <c r="C33" s="546"/>
      <c r="D33" s="314">
        <v>3284978.71</v>
      </c>
      <c r="E33" s="543">
        <f t="shared" si="3"/>
        <v>-1025829.4699999997</v>
      </c>
      <c r="F33" s="544"/>
      <c r="G33" s="373">
        <f t="shared" si="1"/>
        <v>21532.15000000177</v>
      </c>
    </row>
    <row r="34" spans="1:7" ht="11.25" customHeight="1">
      <c r="A34" s="372">
        <v>2039</v>
      </c>
      <c r="B34" s="545">
        <v>2265825.76</v>
      </c>
      <c r="C34" s="546"/>
      <c r="D34" s="314">
        <v>3351743.98</v>
      </c>
      <c r="E34" s="543">
        <f t="shared" si="3"/>
        <v>-1085918.2200000002</v>
      </c>
      <c r="F34" s="544"/>
      <c r="G34" s="373">
        <f t="shared" si="1"/>
        <v>-1064386.0699999984</v>
      </c>
    </row>
    <row r="35" spans="1:7" ht="11.25" customHeight="1">
      <c r="A35" s="372">
        <v>2040</v>
      </c>
      <c r="B35" s="545">
        <v>2265825.76</v>
      </c>
      <c r="C35" s="546"/>
      <c r="D35" s="314">
        <v>3351743.98</v>
      </c>
      <c r="E35" s="543">
        <f t="shared" si="3"/>
        <v>-1085918.2200000002</v>
      </c>
      <c r="F35" s="544"/>
      <c r="G35" s="373">
        <f t="shared" si="1"/>
        <v>-2150304.2899999986</v>
      </c>
    </row>
    <row r="36" spans="1:7" ht="11.25" customHeight="1">
      <c r="A36" s="372">
        <v>2041</v>
      </c>
      <c r="B36" s="545">
        <v>2270276.78</v>
      </c>
      <c r="C36" s="546"/>
      <c r="D36" s="314">
        <v>3396254.16</v>
      </c>
      <c r="E36" s="543">
        <f t="shared" si="3"/>
        <v>-1125977.3800000004</v>
      </c>
      <c r="F36" s="544"/>
      <c r="G36" s="373">
        <f t="shared" si="1"/>
        <v>-3276281.669999999</v>
      </c>
    </row>
    <row r="37" spans="1:7" ht="11.25" customHeight="1">
      <c r="A37" s="372">
        <v>2042</v>
      </c>
      <c r="B37" s="545">
        <v>2268051.27</v>
      </c>
      <c r="C37" s="546"/>
      <c r="D37" s="314">
        <v>3373999.07</v>
      </c>
      <c r="E37" s="543">
        <f t="shared" si="3"/>
        <v>-1105947.7999999998</v>
      </c>
      <c r="F37" s="544"/>
      <c r="G37" s="373">
        <f t="shared" si="1"/>
        <v>-4382229.469999999</v>
      </c>
    </row>
    <row r="38" spans="1:7" ht="11.25" customHeight="1">
      <c r="A38" s="372">
        <v>2043</v>
      </c>
      <c r="B38" s="545">
        <v>2270276.78</v>
      </c>
      <c r="C38" s="546"/>
      <c r="D38" s="314">
        <v>3396254.16</v>
      </c>
      <c r="E38" s="543">
        <f t="shared" si="3"/>
        <v>-1125977.3800000004</v>
      </c>
      <c r="F38" s="544"/>
      <c r="G38" s="373">
        <f t="shared" si="1"/>
        <v>-5508206.85</v>
      </c>
    </row>
    <row r="39" spans="1:7" ht="11.25" customHeight="1">
      <c r="A39" s="372">
        <v>2044</v>
      </c>
      <c r="B39" s="545">
        <v>2268051.27</v>
      </c>
      <c r="C39" s="546"/>
      <c r="D39" s="314">
        <v>3373999.07</v>
      </c>
      <c r="E39" s="543">
        <f t="shared" si="3"/>
        <v>-1105947.7999999998</v>
      </c>
      <c r="F39" s="544"/>
      <c r="G39" s="373">
        <f t="shared" si="1"/>
        <v>-6614154.649999999</v>
      </c>
    </row>
    <row r="40" spans="1:7" ht="11.25" customHeight="1">
      <c r="A40" s="372">
        <v>2045</v>
      </c>
      <c r="B40" s="545">
        <v>2263600.26</v>
      </c>
      <c r="C40" s="546"/>
      <c r="D40" s="314">
        <v>3329488.89</v>
      </c>
      <c r="E40" s="543">
        <f t="shared" si="3"/>
        <v>-1065888.6300000004</v>
      </c>
      <c r="F40" s="544"/>
      <c r="G40" s="373">
        <f t="shared" si="1"/>
        <v>-7680043.279999999</v>
      </c>
    </row>
    <row r="41" spans="1:7" ht="11.25" customHeight="1">
      <c r="A41" s="372">
        <v>2046</v>
      </c>
      <c r="B41" s="545">
        <v>2250247.2</v>
      </c>
      <c r="C41" s="546"/>
      <c r="D41" s="314">
        <v>3195958.35</v>
      </c>
      <c r="E41" s="543">
        <f t="shared" si="3"/>
        <v>-945711.1499999999</v>
      </c>
      <c r="F41" s="544"/>
      <c r="G41" s="373">
        <f t="shared" si="1"/>
        <v>-8625754.43</v>
      </c>
    </row>
    <row r="42" spans="1:7" ht="11.25" customHeight="1">
      <c r="A42" s="372">
        <v>2047</v>
      </c>
      <c r="B42" s="545">
        <v>2248021.69</v>
      </c>
      <c r="C42" s="546"/>
      <c r="D42" s="314">
        <v>3173703.26</v>
      </c>
      <c r="E42" s="543">
        <f t="shared" si="3"/>
        <v>-925681.5699999998</v>
      </c>
      <c r="F42" s="544"/>
      <c r="G42" s="373">
        <f t="shared" si="1"/>
        <v>-9551436</v>
      </c>
    </row>
    <row r="43" spans="1:7" ht="11.25" customHeight="1">
      <c r="A43" s="372">
        <v>2048</v>
      </c>
      <c r="B43" s="545">
        <v>2248021.69</v>
      </c>
      <c r="C43" s="546"/>
      <c r="D43" s="314">
        <v>3173703.26</v>
      </c>
      <c r="E43" s="543">
        <f t="shared" si="3"/>
        <v>-925681.5699999998</v>
      </c>
      <c r="F43" s="544"/>
      <c r="G43" s="373">
        <f t="shared" si="1"/>
        <v>-10477117.57</v>
      </c>
    </row>
    <row r="44" spans="1:7" ht="11.25" customHeight="1">
      <c r="A44" s="372">
        <v>2049</v>
      </c>
      <c r="B44" s="545">
        <v>2239119.66</v>
      </c>
      <c r="C44" s="546"/>
      <c r="D44" s="314">
        <v>3084682.9</v>
      </c>
      <c r="E44" s="543">
        <f aca="true" t="shared" si="4" ref="E44:E50">B44-D44</f>
        <v>-845563.2399999998</v>
      </c>
      <c r="F44" s="544"/>
      <c r="G44" s="373">
        <f>G42+E44</f>
        <v>-10396999.24</v>
      </c>
    </row>
    <row r="45" spans="1:7" ht="11.25" customHeight="1">
      <c r="A45" s="372">
        <v>2050</v>
      </c>
      <c r="B45" s="545">
        <v>2227992.11</v>
      </c>
      <c r="C45" s="546"/>
      <c r="D45" s="314">
        <v>2973407.45</v>
      </c>
      <c r="E45" s="543">
        <f t="shared" si="4"/>
        <v>-745415.3400000003</v>
      </c>
      <c r="F45" s="544"/>
      <c r="G45" s="373">
        <f aca="true" t="shared" si="5" ref="G45:G85">G43+E45</f>
        <v>-11222532.91</v>
      </c>
    </row>
    <row r="46" spans="1:7" ht="11.25" customHeight="1">
      <c r="A46" s="372">
        <v>2051</v>
      </c>
      <c r="B46" s="545">
        <v>2223541.09</v>
      </c>
      <c r="C46" s="546"/>
      <c r="D46" s="314">
        <v>2928897.27</v>
      </c>
      <c r="E46" s="543">
        <f t="shared" si="4"/>
        <v>-705356.1800000002</v>
      </c>
      <c r="F46" s="544"/>
      <c r="G46" s="373">
        <f t="shared" si="5"/>
        <v>-11102355.42</v>
      </c>
    </row>
    <row r="47" spans="1:7" ht="11.25" customHeight="1">
      <c r="A47" s="372">
        <v>2052</v>
      </c>
      <c r="B47" s="545">
        <v>2225766.6</v>
      </c>
      <c r="C47" s="546"/>
      <c r="D47" s="314">
        <v>2688914.8</v>
      </c>
      <c r="E47" s="543">
        <f t="shared" si="4"/>
        <v>-463148.1999999997</v>
      </c>
      <c r="F47" s="544"/>
      <c r="G47" s="373">
        <f t="shared" si="5"/>
        <v>-11685681.11</v>
      </c>
    </row>
    <row r="48" spans="1:7" ht="11.25" customHeight="1">
      <c r="A48" s="372">
        <v>2053</v>
      </c>
      <c r="B48" s="545">
        <v>2216864.57</v>
      </c>
      <c r="C48" s="546"/>
      <c r="D48" s="314">
        <v>2599894.44</v>
      </c>
      <c r="E48" s="543">
        <f t="shared" si="4"/>
        <v>-383029.8700000001</v>
      </c>
      <c r="F48" s="544"/>
      <c r="G48" s="373">
        <f t="shared" si="5"/>
        <v>-11485385.29</v>
      </c>
    </row>
    <row r="49" spans="1:7" ht="11.25" customHeight="1">
      <c r="A49" s="372">
        <v>2054</v>
      </c>
      <c r="B49" s="545">
        <v>2210188.04</v>
      </c>
      <c r="C49" s="546"/>
      <c r="D49" s="314">
        <v>2533129.17</v>
      </c>
      <c r="E49" s="543">
        <f t="shared" si="4"/>
        <v>-322941.1299999999</v>
      </c>
      <c r="F49" s="544"/>
      <c r="G49" s="373">
        <f t="shared" si="5"/>
        <v>-12008622.239999998</v>
      </c>
    </row>
    <row r="50" spans="1:7" ht="11.25" customHeight="1">
      <c r="A50" s="372">
        <v>2055</v>
      </c>
      <c r="B50" s="545">
        <v>2083365.81</v>
      </c>
      <c r="C50" s="546"/>
      <c r="D50" s="314">
        <v>1264906.89</v>
      </c>
      <c r="E50" s="543">
        <f t="shared" si="4"/>
        <v>818458.9200000002</v>
      </c>
      <c r="F50" s="544"/>
      <c r="G50" s="373">
        <f t="shared" si="5"/>
        <v>-10666926.37</v>
      </c>
    </row>
    <row r="51" spans="1:7" ht="11.25" customHeight="1">
      <c r="A51" s="372">
        <v>2056</v>
      </c>
      <c r="B51" s="545">
        <v>2092267.85</v>
      </c>
      <c r="C51" s="546"/>
      <c r="D51" s="314">
        <v>1353927.25</v>
      </c>
      <c r="E51" s="543">
        <f aca="true" t="shared" si="6" ref="E51:E57">B51-D51</f>
        <v>738340.6000000001</v>
      </c>
      <c r="F51" s="544"/>
      <c r="G51" s="373">
        <f t="shared" si="5"/>
        <v>-11270281.639999999</v>
      </c>
    </row>
    <row r="52" spans="1:7" ht="11.25" customHeight="1">
      <c r="A52" s="372">
        <v>2057</v>
      </c>
      <c r="B52" s="545">
        <v>2074463.78</v>
      </c>
      <c r="C52" s="546"/>
      <c r="D52" s="314">
        <v>1175886.53</v>
      </c>
      <c r="E52" s="543">
        <f t="shared" si="6"/>
        <v>898577.25</v>
      </c>
      <c r="F52" s="544"/>
      <c r="G52" s="373">
        <f t="shared" si="5"/>
        <v>-9768349.12</v>
      </c>
    </row>
    <row r="53" spans="1:7" ht="11.25" customHeight="1">
      <c r="A53" s="372">
        <v>2058</v>
      </c>
      <c r="B53" s="545">
        <v>2070012.76</v>
      </c>
      <c r="C53" s="546"/>
      <c r="D53" s="314">
        <v>1131376.35</v>
      </c>
      <c r="E53" s="543">
        <f t="shared" si="6"/>
        <v>938636.4099999999</v>
      </c>
      <c r="F53" s="544"/>
      <c r="G53" s="373">
        <f t="shared" si="5"/>
        <v>-10331645.229999999</v>
      </c>
    </row>
    <row r="54" spans="1:7" ht="11.25" customHeight="1">
      <c r="A54" s="372">
        <v>2059</v>
      </c>
      <c r="B54" s="545">
        <v>2067787.25</v>
      </c>
      <c r="C54" s="546"/>
      <c r="D54" s="314">
        <v>1109121.26</v>
      </c>
      <c r="E54" s="543">
        <f t="shared" si="6"/>
        <v>958665.99</v>
      </c>
      <c r="F54" s="544"/>
      <c r="G54" s="373">
        <f t="shared" si="5"/>
        <v>-8809683.129999999</v>
      </c>
    </row>
    <row r="55" spans="1:7" ht="11.25" customHeight="1">
      <c r="A55" s="372">
        <v>2060</v>
      </c>
      <c r="B55" s="545">
        <v>2063336.23</v>
      </c>
      <c r="C55" s="546"/>
      <c r="D55" s="314">
        <v>1064611.08</v>
      </c>
      <c r="E55" s="543">
        <f t="shared" si="6"/>
        <v>998725.1499999999</v>
      </c>
      <c r="F55" s="544"/>
      <c r="G55" s="373">
        <f t="shared" si="5"/>
        <v>-9332920.079999998</v>
      </c>
    </row>
    <row r="56" spans="1:7" ht="11.25" customHeight="1">
      <c r="A56" s="372">
        <v>2061</v>
      </c>
      <c r="B56" s="545">
        <v>2076689.28</v>
      </c>
      <c r="C56" s="546"/>
      <c r="D56" s="314">
        <v>1198141.62</v>
      </c>
      <c r="E56" s="543">
        <f t="shared" si="6"/>
        <v>878547.6599999999</v>
      </c>
      <c r="F56" s="544"/>
      <c r="G56" s="373">
        <f t="shared" si="5"/>
        <v>-7931135.469999999</v>
      </c>
    </row>
    <row r="57" spans="1:7" ht="11.25" customHeight="1">
      <c r="A57" s="372">
        <v>2062</v>
      </c>
      <c r="B57" s="545">
        <v>2085591.32</v>
      </c>
      <c r="C57" s="546"/>
      <c r="D57" s="314">
        <v>1287161.98</v>
      </c>
      <c r="E57" s="543">
        <f t="shared" si="6"/>
        <v>798429.3400000001</v>
      </c>
      <c r="F57" s="544"/>
      <c r="G57" s="373">
        <f t="shared" si="5"/>
        <v>-8534490.739999998</v>
      </c>
    </row>
    <row r="58" spans="1:7" ht="11.25" customHeight="1">
      <c r="A58" s="372">
        <v>2063</v>
      </c>
      <c r="B58" s="545">
        <v>2081140.3</v>
      </c>
      <c r="C58" s="546"/>
      <c r="D58" s="314">
        <v>1242651.8</v>
      </c>
      <c r="E58" s="543">
        <f aca="true" t="shared" si="7" ref="E58:E82">B58-D58</f>
        <v>838488.5</v>
      </c>
      <c r="F58" s="544"/>
      <c r="G58" s="373">
        <f t="shared" si="5"/>
        <v>-7092646.969999999</v>
      </c>
    </row>
    <row r="59" spans="1:7" ht="11.25" customHeight="1">
      <c r="A59" s="372">
        <v>2064</v>
      </c>
      <c r="B59" s="545">
        <v>2085591.32</v>
      </c>
      <c r="C59" s="546"/>
      <c r="D59" s="314">
        <v>1287161.98</v>
      </c>
      <c r="E59" s="543">
        <f t="shared" si="7"/>
        <v>798429.3400000001</v>
      </c>
      <c r="F59" s="544"/>
      <c r="G59" s="373">
        <f t="shared" si="5"/>
        <v>-7736061.3999999985</v>
      </c>
    </row>
    <row r="60" spans="1:7" ht="11.25" customHeight="1">
      <c r="A60" s="372">
        <v>2065</v>
      </c>
      <c r="B60" s="545">
        <v>2094493.36</v>
      </c>
      <c r="C60" s="546"/>
      <c r="D60" s="314">
        <v>1376182.34</v>
      </c>
      <c r="E60" s="543">
        <f t="shared" si="7"/>
        <v>718311.02</v>
      </c>
      <c r="F60" s="544"/>
      <c r="G60" s="373">
        <f t="shared" si="5"/>
        <v>-6374335.949999999</v>
      </c>
    </row>
    <row r="61" spans="1:7" ht="11.25" customHeight="1">
      <c r="A61" s="372">
        <v>2066</v>
      </c>
      <c r="B61" s="545">
        <v>2105620.9</v>
      </c>
      <c r="C61" s="546"/>
      <c r="D61" s="314">
        <v>1487457.79</v>
      </c>
      <c r="E61" s="543">
        <f t="shared" si="7"/>
        <v>618163.1099999999</v>
      </c>
      <c r="F61" s="544"/>
      <c r="G61" s="373">
        <f t="shared" si="5"/>
        <v>-7117898.289999999</v>
      </c>
    </row>
    <row r="62" spans="1:7" ht="11.25" customHeight="1">
      <c r="A62" s="372">
        <v>2067</v>
      </c>
      <c r="B62" s="545">
        <v>2123424.97</v>
      </c>
      <c r="C62" s="546"/>
      <c r="D62" s="314">
        <v>1665498.51</v>
      </c>
      <c r="E62" s="543">
        <f t="shared" si="7"/>
        <v>457926.4600000002</v>
      </c>
      <c r="F62" s="544"/>
      <c r="G62" s="373">
        <f t="shared" si="5"/>
        <v>-5916409.489999999</v>
      </c>
    </row>
    <row r="63" spans="1:7" ht="11.25" customHeight="1">
      <c r="A63" s="372">
        <v>2068</v>
      </c>
      <c r="B63" s="545">
        <v>2125650.48</v>
      </c>
      <c r="C63" s="546"/>
      <c r="D63" s="314">
        <v>1687753.6</v>
      </c>
      <c r="E63" s="543">
        <f t="shared" si="7"/>
        <v>437896.8799999999</v>
      </c>
      <c r="F63" s="544"/>
      <c r="G63" s="373">
        <f t="shared" si="5"/>
        <v>-6680001.409999999</v>
      </c>
    </row>
    <row r="64" spans="1:7" ht="11.25" customHeight="1">
      <c r="A64" s="372">
        <v>2069</v>
      </c>
      <c r="B64" s="545">
        <v>2139003.54</v>
      </c>
      <c r="C64" s="546"/>
      <c r="D64" s="314">
        <v>1821284.14</v>
      </c>
      <c r="E64" s="543">
        <f t="shared" si="7"/>
        <v>317719.40000000014</v>
      </c>
      <c r="F64" s="544"/>
      <c r="G64" s="373">
        <f t="shared" si="5"/>
        <v>-5598690.089999999</v>
      </c>
    </row>
    <row r="65" spans="1:7" ht="11.25" customHeight="1">
      <c r="A65" s="372">
        <v>2070</v>
      </c>
      <c r="B65" s="545">
        <v>2156807.61</v>
      </c>
      <c r="C65" s="546"/>
      <c r="D65" s="314">
        <v>1999324.86</v>
      </c>
      <c r="E65" s="543">
        <f t="shared" si="7"/>
        <v>157482.74999999977</v>
      </c>
      <c r="F65" s="544"/>
      <c r="G65" s="373">
        <f t="shared" si="5"/>
        <v>-6522518.659999999</v>
      </c>
    </row>
    <row r="66" spans="1:7" ht="11.25" customHeight="1">
      <c r="A66" s="372">
        <v>2071</v>
      </c>
      <c r="B66" s="545">
        <v>2163484.14</v>
      </c>
      <c r="C66" s="546"/>
      <c r="D66" s="314">
        <v>2066090.13</v>
      </c>
      <c r="E66" s="543">
        <f t="shared" si="7"/>
        <v>97394.01000000024</v>
      </c>
      <c r="F66" s="544"/>
      <c r="G66" s="373">
        <f t="shared" si="5"/>
        <v>-5501296.079999998</v>
      </c>
    </row>
    <row r="67" spans="1:7" ht="11.25" customHeight="1">
      <c r="A67" s="372">
        <v>2072</v>
      </c>
      <c r="B67" s="545">
        <v>2163484.14</v>
      </c>
      <c r="C67" s="546"/>
      <c r="D67" s="314">
        <v>2066090.13</v>
      </c>
      <c r="E67" s="543">
        <f t="shared" si="7"/>
        <v>97394.01000000024</v>
      </c>
      <c r="F67" s="544"/>
      <c r="G67" s="373">
        <f t="shared" si="5"/>
        <v>-6425124.6499999985</v>
      </c>
    </row>
    <row r="68" spans="1:7" ht="11.25" customHeight="1">
      <c r="A68" s="372">
        <v>2073</v>
      </c>
      <c r="B68" s="545">
        <v>2167935.15</v>
      </c>
      <c r="C68" s="546"/>
      <c r="D68" s="314">
        <v>2110600.31</v>
      </c>
      <c r="E68" s="543">
        <f t="shared" si="7"/>
        <v>57334.83999999985</v>
      </c>
      <c r="F68" s="544"/>
      <c r="G68" s="373">
        <f t="shared" si="5"/>
        <v>-5443961.239999998</v>
      </c>
    </row>
    <row r="69" spans="1:7" ht="11.25" customHeight="1">
      <c r="A69" s="372">
        <v>2074</v>
      </c>
      <c r="B69" s="545">
        <v>2165709.64</v>
      </c>
      <c r="C69" s="546"/>
      <c r="D69" s="314">
        <v>2088345.22</v>
      </c>
      <c r="E69" s="543">
        <f t="shared" si="7"/>
        <v>77364.42000000016</v>
      </c>
      <c r="F69" s="544"/>
      <c r="G69" s="373">
        <f t="shared" si="5"/>
        <v>-6347760.229999999</v>
      </c>
    </row>
    <row r="70" spans="1:7" ht="11.25" customHeight="1">
      <c r="A70" s="372">
        <v>2075</v>
      </c>
      <c r="B70" s="545">
        <v>2167935.15</v>
      </c>
      <c r="C70" s="546"/>
      <c r="D70" s="314">
        <v>2110600.31</v>
      </c>
      <c r="E70" s="543">
        <f t="shared" si="7"/>
        <v>57334.83999999985</v>
      </c>
      <c r="F70" s="544"/>
      <c r="G70" s="373">
        <f t="shared" si="5"/>
        <v>-5386626.3999999985</v>
      </c>
    </row>
    <row r="71" spans="1:7" ht="11.25" customHeight="1">
      <c r="A71" s="372">
        <v>2076</v>
      </c>
      <c r="B71" s="545">
        <v>2165709.64</v>
      </c>
      <c r="C71" s="546"/>
      <c r="D71" s="314">
        <v>2088345.22</v>
      </c>
      <c r="E71" s="543">
        <f t="shared" si="7"/>
        <v>77364.42000000016</v>
      </c>
      <c r="F71" s="544"/>
      <c r="G71" s="373">
        <f t="shared" si="5"/>
        <v>-6270395.809999999</v>
      </c>
    </row>
    <row r="72" spans="1:7" ht="11.25" customHeight="1">
      <c r="A72" s="372">
        <v>2077</v>
      </c>
      <c r="B72" s="545">
        <v>2161258.63</v>
      </c>
      <c r="C72" s="546"/>
      <c r="D72" s="314">
        <v>2043835.04</v>
      </c>
      <c r="E72" s="543">
        <f t="shared" si="7"/>
        <v>117423.58999999985</v>
      </c>
      <c r="F72" s="544"/>
      <c r="G72" s="373">
        <f t="shared" si="5"/>
        <v>-5269202.809999999</v>
      </c>
    </row>
    <row r="73" spans="1:7" ht="11.25" customHeight="1">
      <c r="A73" s="372">
        <v>2078</v>
      </c>
      <c r="B73" s="545">
        <v>2147905.57</v>
      </c>
      <c r="C73" s="546"/>
      <c r="D73" s="314">
        <v>1910304.5</v>
      </c>
      <c r="E73" s="543">
        <f t="shared" si="7"/>
        <v>237601.06999999983</v>
      </c>
      <c r="F73" s="544"/>
      <c r="G73" s="373">
        <f t="shared" si="5"/>
        <v>-6032794.739999998</v>
      </c>
    </row>
    <row r="74" spans="1:7" ht="11.25" customHeight="1">
      <c r="A74" s="372">
        <v>2079</v>
      </c>
      <c r="B74" s="545">
        <v>2152356.59</v>
      </c>
      <c r="C74" s="546"/>
      <c r="D74" s="314">
        <v>1954814.68</v>
      </c>
      <c r="E74" s="543">
        <f t="shared" si="7"/>
        <v>197541.90999999992</v>
      </c>
      <c r="F74" s="544"/>
      <c r="G74" s="373">
        <f t="shared" si="5"/>
        <v>-5071660.8999999985</v>
      </c>
    </row>
    <row r="75" spans="1:7" ht="11.25" customHeight="1">
      <c r="A75" s="372">
        <v>2080</v>
      </c>
      <c r="B75" s="545">
        <v>2156807.61</v>
      </c>
      <c r="C75" s="546"/>
      <c r="D75" s="314">
        <v>1999324.86</v>
      </c>
      <c r="E75" s="543">
        <f t="shared" si="7"/>
        <v>157482.74999999977</v>
      </c>
      <c r="F75" s="544"/>
      <c r="G75" s="373">
        <f t="shared" si="5"/>
        <v>-5875311.989999998</v>
      </c>
    </row>
    <row r="76" spans="1:7" ht="11.25" customHeight="1">
      <c r="A76" s="372">
        <v>2081</v>
      </c>
      <c r="B76" s="545">
        <v>2147905.57</v>
      </c>
      <c r="C76" s="546"/>
      <c r="D76" s="314">
        <v>1910304.5</v>
      </c>
      <c r="E76" s="543">
        <f t="shared" si="7"/>
        <v>237601.06999999983</v>
      </c>
      <c r="F76" s="544"/>
      <c r="G76" s="373">
        <f t="shared" si="5"/>
        <v>-4834059.829999998</v>
      </c>
    </row>
    <row r="77" spans="1:7" ht="11.25" customHeight="1">
      <c r="A77" s="372">
        <v>2082</v>
      </c>
      <c r="B77" s="545">
        <v>2136778.03</v>
      </c>
      <c r="C77" s="546"/>
      <c r="D77" s="314">
        <v>1799029.05</v>
      </c>
      <c r="E77" s="543">
        <f t="shared" si="7"/>
        <v>337748.97999999975</v>
      </c>
      <c r="F77" s="544"/>
      <c r="G77" s="373">
        <f t="shared" si="5"/>
        <v>-5537563.009999999</v>
      </c>
    </row>
    <row r="78" spans="1:7" ht="11.25" customHeight="1">
      <c r="A78" s="372">
        <v>2083</v>
      </c>
      <c r="B78" s="545">
        <v>2132327.01</v>
      </c>
      <c r="C78" s="546"/>
      <c r="D78" s="314">
        <v>1754518.87</v>
      </c>
      <c r="E78" s="543">
        <f t="shared" si="7"/>
        <v>377808.13999999966</v>
      </c>
      <c r="F78" s="544"/>
      <c r="G78" s="373">
        <f t="shared" si="5"/>
        <v>-4456251.689999999</v>
      </c>
    </row>
    <row r="79" spans="1:7" ht="11.25" customHeight="1">
      <c r="A79" s="372">
        <v>2084</v>
      </c>
      <c r="B79" s="545">
        <v>2134552.52</v>
      </c>
      <c r="C79" s="546"/>
      <c r="D79" s="314">
        <v>1776773.96</v>
      </c>
      <c r="E79" s="543">
        <f t="shared" si="7"/>
        <v>357778.56000000006</v>
      </c>
      <c r="F79" s="544"/>
      <c r="G79" s="373">
        <f t="shared" si="5"/>
        <v>-5179784.449999999</v>
      </c>
    </row>
    <row r="80" spans="1:7" ht="11.25" customHeight="1">
      <c r="A80" s="372">
        <v>2085</v>
      </c>
      <c r="B80" s="545">
        <v>2125650.48</v>
      </c>
      <c r="C80" s="546"/>
      <c r="D80" s="314">
        <v>1687753.6</v>
      </c>
      <c r="E80" s="543">
        <f t="shared" si="7"/>
        <v>437896.8799999999</v>
      </c>
      <c r="F80" s="544"/>
      <c r="G80" s="373">
        <f t="shared" si="5"/>
        <v>-4018354.8099999987</v>
      </c>
    </row>
    <row r="81" spans="1:7" ht="11.25" customHeight="1">
      <c r="A81" s="372">
        <v>2086</v>
      </c>
      <c r="B81" s="545">
        <v>2118973.96</v>
      </c>
      <c r="C81" s="546"/>
      <c r="D81" s="314">
        <v>1620988.33</v>
      </c>
      <c r="E81" s="543">
        <f t="shared" si="7"/>
        <v>497985.6299999999</v>
      </c>
      <c r="F81" s="544"/>
      <c r="G81" s="373">
        <f t="shared" si="5"/>
        <v>-4681798.819999999</v>
      </c>
    </row>
    <row r="82" spans="1:7" ht="11.25" customHeight="1">
      <c r="A82" s="372">
        <v>2087</v>
      </c>
      <c r="B82" s="545">
        <v>2105620.9</v>
      </c>
      <c r="C82" s="546"/>
      <c r="D82" s="314">
        <v>1487457.79</v>
      </c>
      <c r="E82" s="543">
        <f t="shared" si="7"/>
        <v>618163.1099999999</v>
      </c>
      <c r="F82" s="544"/>
      <c r="G82" s="373">
        <f t="shared" si="5"/>
        <v>-3400191.699999999</v>
      </c>
    </row>
    <row r="83" spans="1:7" ht="11.25" customHeight="1">
      <c r="A83" s="372">
        <v>2088</v>
      </c>
      <c r="B83" s="545">
        <v>2103395.39</v>
      </c>
      <c r="C83" s="546"/>
      <c r="D83" s="314">
        <v>1465202.7</v>
      </c>
      <c r="E83" s="543">
        <f>B83-D83</f>
        <v>638192.6900000002</v>
      </c>
      <c r="F83" s="544"/>
      <c r="G83" s="373">
        <f t="shared" si="5"/>
        <v>-4043606.129999999</v>
      </c>
    </row>
    <row r="84" spans="1:7" ht="11.25" customHeight="1">
      <c r="A84" s="372">
        <v>2089</v>
      </c>
      <c r="B84" s="545">
        <v>2085591.32</v>
      </c>
      <c r="C84" s="546"/>
      <c r="D84" s="314">
        <v>1287161.98</v>
      </c>
      <c r="E84" s="543">
        <f>B84-D84</f>
        <v>798429.3400000001</v>
      </c>
      <c r="F84" s="544"/>
      <c r="G84" s="373">
        <f t="shared" si="5"/>
        <v>-2601762.3599999985</v>
      </c>
    </row>
    <row r="85" spans="1:7" ht="11.25" customHeight="1">
      <c r="A85" s="363">
        <v>2090</v>
      </c>
      <c r="B85" s="547">
        <v>2081140.3</v>
      </c>
      <c r="C85" s="548"/>
      <c r="D85" s="314">
        <v>1242651.8</v>
      </c>
      <c r="E85" s="549">
        <f>B85-D85</f>
        <v>838488.5</v>
      </c>
      <c r="F85" s="550"/>
      <c r="G85" s="376">
        <f t="shared" si="5"/>
        <v>-3205117.629999999</v>
      </c>
    </row>
    <row r="86" spans="1:7" ht="16.5" customHeight="1" thickBot="1">
      <c r="A86" s="374" t="s">
        <v>419</v>
      </c>
      <c r="B86" s="375"/>
      <c r="C86" s="375"/>
      <c r="D86" s="375"/>
      <c r="E86" s="375"/>
      <c r="F86" s="375"/>
      <c r="G86" s="377">
        <v>42856</v>
      </c>
    </row>
  </sheetData>
  <sheetProtection/>
  <mergeCells count="162">
    <mergeCell ref="A1:G1"/>
    <mergeCell ref="A2:G2"/>
    <mergeCell ref="B10:C10"/>
    <mergeCell ref="E10:F10"/>
    <mergeCell ref="A3:G3"/>
    <mergeCell ref="A5:G5"/>
    <mergeCell ref="B8:C8"/>
    <mergeCell ref="E8:F8"/>
    <mergeCell ref="B9:C9"/>
    <mergeCell ref="A4:G4"/>
    <mergeCell ref="B12:C12"/>
    <mergeCell ref="E12:F12"/>
    <mergeCell ref="B13:C13"/>
    <mergeCell ref="E13:F13"/>
    <mergeCell ref="E14:F14"/>
    <mergeCell ref="B15:C15"/>
    <mergeCell ref="E15:F15"/>
    <mergeCell ref="B16:C16"/>
    <mergeCell ref="E16:F16"/>
    <mergeCell ref="B14:C14"/>
    <mergeCell ref="B17:C17"/>
    <mergeCell ref="E17:F17"/>
    <mergeCell ref="B72:C72"/>
    <mergeCell ref="E72:F72"/>
    <mergeCell ref="B18:C18"/>
    <mergeCell ref="B19:C19"/>
    <mergeCell ref="B20:C20"/>
    <mergeCell ref="B78:C78"/>
    <mergeCell ref="E78:F78"/>
    <mergeCell ref="B73:C73"/>
    <mergeCell ref="E73:F73"/>
    <mergeCell ref="B74:C74"/>
    <mergeCell ref="E74:F74"/>
    <mergeCell ref="B77:C77"/>
    <mergeCell ref="E77:F77"/>
    <mergeCell ref="B76:C76"/>
    <mergeCell ref="E76:F76"/>
    <mergeCell ref="B21:C21"/>
    <mergeCell ref="B22:C22"/>
    <mergeCell ref="B23:C23"/>
    <mergeCell ref="B24:C24"/>
    <mergeCell ref="B25:C25"/>
    <mergeCell ref="B68:C68"/>
    <mergeCell ref="B65:C65"/>
    <mergeCell ref="B66:C66"/>
    <mergeCell ref="B67:C67"/>
    <mergeCell ref="B28:C28"/>
    <mergeCell ref="B26:C26"/>
    <mergeCell ref="B27:C27"/>
    <mergeCell ref="B62:C62"/>
    <mergeCell ref="B63:C63"/>
    <mergeCell ref="B64:C64"/>
    <mergeCell ref="E22:F22"/>
    <mergeCell ref="E23:F23"/>
    <mergeCell ref="E24:F24"/>
    <mergeCell ref="E25:F25"/>
    <mergeCell ref="E26:F26"/>
    <mergeCell ref="B69:C69"/>
    <mergeCell ref="B70:C70"/>
    <mergeCell ref="B71:C71"/>
    <mergeCell ref="B75:C75"/>
    <mergeCell ref="E68:F68"/>
    <mergeCell ref="E69:F69"/>
    <mergeCell ref="E70:F70"/>
    <mergeCell ref="E71:F71"/>
    <mergeCell ref="E75:F75"/>
    <mergeCell ref="E27:F27"/>
    <mergeCell ref="E62:F62"/>
    <mergeCell ref="E63:F63"/>
    <mergeCell ref="E28:F28"/>
    <mergeCell ref="E57:F57"/>
    <mergeCell ref="B11:C11"/>
    <mergeCell ref="E11:F11"/>
    <mergeCell ref="B29:C29"/>
    <mergeCell ref="B30:C30"/>
    <mergeCell ref="B31:C31"/>
    <mergeCell ref="E64:F64"/>
    <mergeCell ref="E65:F65"/>
    <mergeCell ref="E66:F66"/>
    <mergeCell ref="E67:F67"/>
    <mergeCell ref="E18:F18"/>
    <mergeCell ref="E19:F19"/>
    <mergeCell ref="E20:F20"/>
    <mergeCell ref="E21:F21"/>
    <mergeCell ref="E29:F29"/>
    <mergeCell ref="E30:F30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B46:C46"/>
    <mergeCell ref="B47:C47"/>
    <mergeCell ref="B48:C48"/>
    <mergeCell ref="E45:F45"/>
    <mergeCell ref="E46:F46"/>
    <mergeCell ref="E47:F47"/>
    <mergeCell ref="E48:F48"/>
    <mergeCell ref="B49:C49"/>
    <mergeCell ref="B50:C50"/>
    <mergeCell ref="B51:C51"/>
    <mergeCell ref="B52:C52"/>
    <mergeCell ref="B53:C53"/>
    <mergeCell ref="B54:C54"/>
    <mergeCell ref="E9:F9"/>
    <mergeCell ref="A6:G6"/>
    <mergeCell ref="B79:C79"/>
    <mergeCell ref="B80:C80"/>
    <mergeCell ref="E53:F53"/>
    <mergeCell ref="E54:F54"/>
    <mergeCell ref="E55:F55"/>
    <mergeCell ref="E56:F56"/>
    <mergeCell ref="B55:C55"/>
    <mergeCell ref="E51:F51"/>
    <mergeCell ref="E84:F84"/>
    <mergeCell ref="B85:C85"/>
    <mergeCell ref="E79:F79"/>
    <mergeCell ref="E80:F80"/>
    <mergeCell ref="E81:F81"/>
    <mergeCell ref="E82:F82"/>
    <mergeCell ref="E83:F83"/>
    <mergeCell ref="E85:F85"/>
    <mergeCell ref="B81:C81"/>
    <mergeCell ref="B82:C82"/>
    <mergeCell ref="B83:C83"/>
    <mergeCell ref="B84:C84"/>
    <mergeCell ref="B61:C61"/>
    <mergeCell ref="B56:C56"/>
    <mergeCell ref="B57:C57"/>
    <mergeCell ref="B58:C58"/>
    <mergeCell ref="B59:C59"/>
    <mergeCell ref="B60:C60"/>
    <mergeCell ref="E49:F49"/>
    <mergeCell ref="E50:F50"/>
    <mergeCell ref="E58:F58"/>
    <mergeCell ref="E59:F59"/>
    <mergeCell ref="E60:F60"/>
    <mergeCell ref="E61:F61"/>
    <mergeCell ref="E52:F52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6" ht="12.75">
      <c r="A1" s="581" t="str">
        <f>Parâmetros!A7</f>
        <v>Município de : Boqueirão do Leão - RS</v>
      </c>
      <c r="B1" s="571"/>
      <c r="C1" s="571"/>
      <c r="D1" s="571"/>
      <c r="E1" s="571"/>
      <c r="F1" s="572"/>
    </row>
    <row r="2" spans="1:6" ht="12.75">
      <c r="A2" s="570" t="s">
        <v>42</v>
      </c>
      <c r="B2" s="571"/>
      <c r="C2" s="571"/>
      <c r="D2" s="571"/>
      <c r="E2" s="571"/>
      <c r="F2" s="572"/>
    </row>
    <row r="3" spans="1:6" ht="12.75">
      <c r="A3" s="570" t="s">
        <v>175</v>
      </c>
      <c r="B3" s="571"/>
      <c r="C3" s="571"/>
      <c r="D3" s="571"/>
      <c r="E3" s="571"/>
      <c r="F3" s="572"/>
    </row>
    <row r="4" spans="1:6" ht="12.75">
      <c r="A4" s="418" t="s">
        <v>187</v>
      </c>
      <c r="B4" s="419"/>
      <c r="C4" s="419"/>
      <c r="D4" s="419"/>
      <c r="E4" s="419"/>
      <c r="F4" s="420"/>
    </row>
    <row r="5" spans="1:6" ht="12.75">
      <c r="A5" s="570" t="s">
        <v>406</v>
      </c>
      <c r="B5" s="571"/>
      <c r="C5" s="571"/>
      <c r="D5" s="571"/>
      <c r="E5" s="571"/>
      <c r="F5" s="572"/>
    </row>
    <row r="6" spans="1:6" ht="12.75">
      <c r="A6" s="570"/>
      <c r="B6" s="571"/>
      <c r="C6" s="571"/>
      <c r="D6" s="571"/>
      <c r="E6" s="571"/>
      <c r="F6" s="572"/>
    </row>
    <row r="7" spans="1:7" s="122" customFormat="1" ht="11.25" customHeight="1">
      <c r="A7" s="142" t="s">
        <v>293</v>
      </c>
      <c r="B7" s="143"/>
      <c r="C7" s="143"/>
      <c r="D7" s="143"/>
      <c r="E7" s="143"/>
      <c r="F7" s="144"/>
      <c r="G7" s="145">
        <v>1</v>
      </c>
    </row>
    <row r="8" spans="1:7" s="125" customFormat="1" ht="11.25" customHeight="1">
      <c r="A8" s="573" t="s">
        <v>279</v>
      </c>
      <c r="B8" s="461" t="s">
        <v>280</v>
      </c>
      <c r="C8" s="458" t="s">
        <v>281</v>
      </c>
      <c r="D8" s="461" t="s">
        <v>150</v>
      </c>
      <c r="E8" s="579"/>
      <c r="F8" s="573"/>
      <c r="G8" s="461" t="s">
        <v>151</v>
      </c>
    </row>
    <row r="9" spans="1:7" s="125" customFormat="1" ht="11.25" customHeight="1">
      <c r="A9" s="574"/>
      <c r="B9" s="576"/>
      <c r="C9" s="577"/>
      <c r="D9" s="462"/>
      <c r="E9" s="580"/>
      <c r="F9" s="575"/>
      <c r="G9" s="576"/>
    </row>
    <row r="10" spans="1:7" s="122" customFormat="1" ht="24" customHeight="1">
      <c r="A10" s="575"/>
      <c r="B10" s="462"/>
      <c r="C10" s="578"/>
      <c r="D10" s="146">
        <v>2018</v>
      </c>
      <c r="E10" s="146">
        <f>D10+1</f>
        <v>2019</v>
      </c>
      <c r="F10" s="146">
        <f>E10+1</f>
        <v>2020</v>
      </c>
      <c r="G10" s="462"/>
    </row>
    <row r="11" spans="1:7" s="122" customFormat="1" ht="26.25" customHeight="1">
      <c r="A11" s="147"/>
      <c r="B11" s="147"/>
      <c r="C11" s="147"/>
      <c r="D11" s="148"/>
      <c r="E11" s="148">
        <f>D11*(1+B24)</f>
        <v>0</v>
      </c>
      <c r="F11" s="148">
        <f>E11*(1+B25)</f>
        <v>0</v>
      </c>
      <c r="G11" s="582" t="s">
        <v>283</v>
      </c>
    </row>
    <row r="12" spans="1:7" s="122" customFormat="1" ht="42" customHeight="1">
      <c r="A12" s="147"/>
      <c r="B12" s="147"/>
      <c r="C12" s="147"/>
      <c r="D12" s="148"/>
      <c r="E12" s="148">
        <f>D12*(1+B24)</f>
        <v>0</v>
      </c>
      <c r="F12" s="148">
        <f>E12*(1+B25)</f>
        <v>0</v>
      </c>
      <c r="G12" s="583"/>
    </row>
    <row r="13" spans="1:7" s="122" customFormat="1" ht="30.75" customHeight="1">
      <c r="A13" s="147"/>
      <c r="B13" s="147"/>
      <c r="C13" s="147"/>
      <c r="D13" s="148"/>
      <c r="E13" s="148">
        <f>D13*(1+B24)</f>
        <v>0</v>
      </c>
      <c r="F13" s="148">
        <f>E13*(1+B25)</f>
        <v>0</v>
      </c>
      <c r="G13" s="154" t="s">
        <v>284</v>
      </c>
    </row>
    <row r="14" spans="1:7" s="122" customFormat="1" ht="11.25" customHeight="1">
      <c r="A14" s="147"/>
      <c r="B14" s="147"/>
      <c r="C14" s="147"/>
      <c r="D14" s="148"/>
      <c r="E14" s="148">
        <f>D14*(1+B24)</f>
        <v>0</v>
      </c>
      <c r="F14" s="148">
        <f>E14*(1+B25)</f>
        <v>0</v>
      </c>
      <c r="G14" s="154"/>
    </row>
    <row r="15" spans="1:7" s="122" customFormat="1" ht="11.25" customHeight="1">
      <c r="A15" s="147"/>
      <c r="B15" s="147"/>
      <c r="C15" s="147"/>
      <c r="D15" s="148"/>
      <c r="E15" s="148">
        <f>D15*(1+B24)</f>
        <v>0</v>
      </c>
      <c r="F15" s="148">
        <f>E15*(1+B25)</f>
        <v>0</v>
      </c>
      <c r="G15" s="154"/>
    </row>
    <row r="16" spans="1:7" s="122" customFormat="1" ht="11.25" customHeight="1">
      <c r="A16" s="147"/>
      <c r="B16" s="147"/>
      <c r="C16" s="147"/>
      <c r="D16" s="148"/>
      <c r="E16" s="148">
        <f>D16*(1+B24)</f>
        <v>0</v>
      </c>
      <c r="F16" s="148">
        <f>E16*(1+B25)</f>
        <v>0</v>
      </c>
      <c r="G16" s="154"/>
    </row>
    <row r="17" spans="1:7" s="122" customFormat="1" ht="11.25" customHeight="1">
      <c r="A17" s="149"/>
      <c r="B17" s="149"/>
      <c r="C17" s="149"/>
      <c r="D17" s="150"/>
      <c r="E17" s="148">
        <f>D17*(1+B24)</f>
        <v>0</v>
      </c>
      <c r="F17" s="148">
        <f>E17*(1+B25)</f>
        <v>0</v>
      </c>
      <c r="G17" s="155"/>
    </row>
    <row r="18" spans="1:7" s="122" customFormat="1" ht="11.25" customHeight="1">
      <c r="A18" s="568" t="s">
        <v>130</v>
      </c>
      <c r="B18" s="568"/>
      <c r="C18" s="569"/>
      <c r="D18" s="150">
        <f>SUM(D11:D17)</f>
        <v>0</v>
      </c>
      <c r="E18" s="150">
        <f>SUM(E11:E17)</f>
        <v>0</v>
      </c>
      <c r="F18" s="150">
        <f>SUM(F11:F17)</f>
        <v>0</v>
      </c>
      <c r="G18" s="155" t="s">
        <v>282</v>
      </c>
    </row>
    <row r="19" spans="1:7" s="122" customFormat="1" ht="11.25" customHeight="1">
      <c r="A19" s="355" t="str">
        <f>Dívida!A21</f>
        <v>Fonte: Sistema Betha Sistemas, Unidade Responsável Contabilidade, Data da emissão 20/06/2017 e hora de emissão 08:34</v>
      </c>
      <c r="B19" s="151"/>
      <c r="C19" s="151"/>
      <c r="D19" s="151"/>
      <c r="E19" s="151"/>
      <c r="F19" s="151"/>
      <c r="G19" s="151"/>
    </row>
    <row r="20" spans="1:6" ht="12.75">
      <c r="A20" s="34" t="s">
        <v>394</v>
      </c>
      <c r="B20" s="132"/>
      <c r="C20" s="132"/>
      <c r="D20" s="132"/>
      <c r="E20" s="132"/>
      <c r="F20" s="132"/>
    </row>
    <row r="21" ht="12.75">
      <c r="A21" t="s">
        <v>215</v>
      </c>
    </row>
    <row r="22" ht="12.75">
      <c r="A22" s="34" t="s">
        <v>395</v>
      </c>
    </row>
    <row r="23" ht="12.75">
      <c r="A23" t="s">
        <v>218</v>
      </c>
    </row>
    <row r="24" spans="1:2" ht="12.75">
      <c r="A24" s="34" t="s">
        <v>386</v>
      </c>
      <c r="B24" s="105">
        <f>Parâmetros!F11</f>
        <v>0.0426</v>
      </c>
    </row>
    <row r="25" spans="1:2" ht="12.75">
      <c r="A25" s="34" t="s">
        <v>396</v>
      </c>
      <c r="B25" s="105">
        <f>Parâmetros!G11</f>
        <v>0.0416</v>
      </c>
    </row>
    <row r="26" ht="12.75">
      <c r="B26" s="105"/>
    </row>
  </sheetData>
  <sheetProtection/>
  <mergeCells count="13">
    <mergeCell ref="A1:F1"/>
    <mergeCell ref="A2:F2"/>
    <mergeCell ref="A3:F3"/>
    <mergeCell ref="A4:F4"/>
    <mergeCell ref="G8:G10"/>
    <mergeCell ref="G11:G12"/>
    <mergeCell ref="A18:C18"/>
    <mergeCell ref="A5:F5"/>
    <mergeCell ref="A6:F6"/>
    <mergeCell ref="A8:A10"/>
    <mergeCell ref="B8:B10"/>
    <mergeCell ref="C8:C10"/>
    <mergeCell ref="D8:F9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A1:B31"/>
  <sheetViews>
    <sheetView view="pageBreakPreview" zoomScale="60" zoomScalePageLayoutView="0" workbookViewId="0" topLeftCell="A1">
      <selection activeCell="A5" sqref="A5:B5"/>
    </sheetView>
  </sheetViews>
  <sheetFormatPr defaultColWidth="9.140625" defaultRowHeight="12.75"/>
  <cols>
    <col min="1" max="1" width="46.421875" style="34" customWidth="1"/>
    <col min="2" max="2" width="44.7109375" style="34" customWidth="1"/>
    <col min="3" max="16384" width="9.140625" style="34" customWidth="1"/>
  </cols>
  <sheetData>
    <row r="1" spans="1:2" ht="12.75">
      <c r="A1" s="584" t="str">
        <f>Parâmetros!A7</f>
        <v>Município de : Boqueirão do Leão - RS</v>
      </c>
      <c r="B1" s="453"/>
    </row>
    <row r="2" spans="1:2" ht="12.75">
      <c r="A2" s="451" t="s">
        <v>42</v>
      </c>
      <c r="B2" s="453"/>
    </row>
    <row r="3" spans="1:2" ht="12.75">
      <c r="A3" s="451" t="s">
        <v>175</v>
      </c>
      <c r="B3" s="453"/>
    </row>
    <row r="4" spans="1:2" ht="12.75">
      <c r="A4" s="455" t="s">
        <v>213</v>
      </c>
      <c r="B4" s="457"/>
    </row>
    <row r="5" spans="1:2" ht="12.75">
      <c r="A5" s="448" t="s">
        <v>406</v>
      </c>
      <c r="B5" s="450"/>
    </row>
    <row r="6" spans="1:2" ht="12.75">
      <c r="A6" s="451"/>
      <c r="B6" s="453"/>
    </row>
    <row r="7" spans="1:2" ht="12.75">
      <c r="A7" s="215" t="s">
        <v>294</v>
      </c>
      <c r="B7" s="214">
        <v>1</v>
      </c>
    </row>
    <row r="8" spans="1:2" s="36" customFormat="1" ht="25.5" customHeight="1">
      <c r="A8" s="213" t="s">
        <v>152</v>
      </c>
      <c r="B8" s="183" t="s">
        <v>415</v>
      </c>
    </row>
    <row r="9" spans="1:2" ht="15.75">
      <c r="A9" s="216" t="s">
        <v>153</v>
      </c>
      <c r="B9" s="217">
        <f>(B10+B11)</f>
        <v>1257054.882848534</v>
      </c>
    </row>
    <row r="10" spans="1:2" ht="15">
      <c r="A10" s="218" t="s">
        <v>209</v>
      </c>
      <c r="B10" s="219">
        <f>(Projeções!G11)/(1+Parâmetros!E11)-Projeções!F11</f>
        <v>23479.13316678931</v>
      </c>
    </row>
    <row r="11" spans="1:2" ht="15">
      <c r="A11" s="218" t="s">
        <v>210</v>
      </c>
      <c r="B11" s="219">
        <f>Projeções!G23/(1+Parâmetros!E11)-Projeções!F23</f>
        <v>1233575.7496817447</v>
      </c>
    </row>
    <row r="12" spans="1:2" ht="15">
      <c r="A12" s="218" t="s">
        <v>348</v>
      </c>
      <c r="B12" s="219">
        <v>0</v>
      </c>
    </row>
    <row r="13" spans="1:2" ht="15">
      <c r="A13" s="220" t="s">
        <v>222</v>
      </c>
      <c r="B13" s="219">
        <f>Projeções!G34/(1+Parâmetros!E11)-Projeções!F34</f>
        <v>-59103.901338352356</v>
      </c>
    </row>
    <row r="14" spans="1:2" ht="15.75">
      <c r="A14" s="221" t="s">
        <v>154</v>
      </c>
      <c r="B14" s="222">
        <f>B9+B13</f>
        <v>1197950.9815101817</v>
      </c>
    </row>
    <row r="15" spans="1:2" ht="15">
      <c r="A15" s="220" t="s">
        <v>155</v>
      </c>
      <c r="B15" s="223">
        <v>0</v>
      </c>
    </row>
    <row r="16" spans="1:2" ht="15.75">
      <c r="A16" s="220" t="s">
        <v>156</v>
      </c>
      <c r="B16" s="222">
        <f>B14+B15</f>
        <v>1197950.9815101817</v>
      </c>
    </row>
    <row r="17" spans="1:2" ht="15">
      <c r="A17" s="218" t="s">
        <v>157</v>
      </c>
      <c r="B17" s="219"/>
    </row>
    <row r="18" spans="1:2" ht="15.75">
      <c r="A18" s="221" t="s">
        <v>345</v>
      </c>
      <c r="B18" s="222">
        <f>B19+B20</f>
        <v>307656.66924638953</v>
      </c>
    </row>
    <row r="19" spans="1:2" ht="15">
      <c r="A19" s="220" t="s">
        <v>211</v>
      </c>
      <c r="B19" s="219">
        <f>Projeções!G42/(1+Parâmetros!E11)-Projeções!F42</f>
        <v>-45388.55368967168</v>
      </c>
    </row>
    <row r="20" spans="1:2" ht="15">
      <c r="A20" s="220" t="s">
        <v>212</v>
      </c>
      <c r="B20" s="219">
        <f>Projeções!G48/(1+Parâmetros!E11)-Projeções!F48</f>
        <v>353045.2229360612</v>
      </c>
    </row>
    <row r="21" spans="1:2" ht="15">
      <c r="A21" s="221" t="s">
        <v>346</v>
      </c>
      <c r="B21" s="219">
        <v>0</v>
      </c>
    </row>
    <row r="22" spans="1:2" ht="21" customHeight="1">
      <c r="A22" s="221" t="s">
        <v>347</v>
      </c>
      <c r="B22" s="224">
        <f>IF(B16-B17-B18&lt;0,"SEM MARGEM",B16-B17-B18)</f>
        <v>890294.3122637921</v>
      </c>
    </row>
    <row r="23" spans="1:2" ht="12.75">
      <c r="A23" s="585" t="s">
        <v>391</v>
      </c>
      <c r="B23" s="586"/>
    </row>
    <row r="24" ht="12.75">
      <c r="A24" s="22"/>
    </row>
    <row r="25" spans="1:2" ht="12.75">
      <c r="A25" s="225"/>
      <c r="B25" s="225"/>
    </row>
    <row r="26" ht="12.75">
      <c r="A26" s="225"/>
    </row>
    <row r="27" ht="12.75">
      <c r="A27" s="225"/>
    </row>
    <row r="28" ht="12.75">
      <c r="A28" s="225"/>
    </row>
    <row r="29" ht="12.75">
      <c r="A29" s="225"/>
    </row>
    <row r="30" ht="12.75">
      <c r="A30" s="225"/>
    </row>
    <row r="31" ht="12.75">
      <c r="A31" s="225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A6" sqref="A6:B6"/>
    </sheetView>
  </sheetViews>
  <sheetFormatPr defaultColWidth="9.140625" defaultRowHeight="12.75"/>
  <cols>
    <col min="1" max="1" width="41.00390625" style="226" customWidth="1"/>
    <col min="2" max="2" width="44.7109375" style="226" customWidth="1"/>
    <col min="3" max="16384" width="9.140625" style="226" customWidth="1"/>
  </cols>
  <sheetData>
    <row r="1" spans="1:2" ht="11.25">
      <c r="A1" s="581" t="str">
        <f>Parâmetros!A7</f>
        <v>Município de : Boqueirão do Leão - RS</v>
      </c>
      <c r="B1" s="572"/>
    </row>
    <row r="2" spans="1:2" ht="11.25">
      <c r="A2" s="570" t="s">
        <v>42</v>
      </c>
      <c r="B2" s="572"/>
    </row>
    <row r="3" spans="1:2" ht="11.25">
      <c r="A3" s="570" t="s">
        <v>175</v>
      </c>
      <c r="B3" s="572"/>
    </row>
    <row r="4" spans="1:2" ht="11.25">
      <c r="A4" s="418" t="s">
        <v>213</v>
      </c>
      <c r="B4" s="420"/>
    </row>
    <row r="5" spans="1:2" ht="11.25">
      <c r="A5" s="570" t="s">
        <v>406</v>
      </c>
      <c r="B5" s="572"/>
    </row>
    <row r="6" spans="1:2" ht="11.25">
      <c r="A6" s="570"/>
      <c r="B6" s="572"/>
    </row>
    <row r="7" spans="1:2" ht="11.25">
      <c r="A7" s="152" t="s">
        <v>294</v>
      </c>
      <c r="B7" s="33">
        <v>1</v>
      </c>
    </row>
    <row r="8" spans="1:2" s="227" customFormat="1" ht="25.5" customHeight="1">
      <c r="A8" s="30" t="s">
        <v>152</v>
      </c>
      <c r="B8" s="356" t="s">
        <v>397</v>
      </c>
    </row>
    <row r="9" spans="1:2" ht="11.25">
      <c r="A9" s="89" t="s">
        <v>153</v>
      </c>
      <c r="B9" s="228"/>
    </row>
    <row r="10" spans="1:2" ht="11.25">
      <c r="A10" s="31" t="s">
        <v>209</v>
      </c>
      <c r="B10" s="229"/>
    </row>
    <row r="11" spans="1:2" ht="11.25">
      <c r="A11" s="31" t="s">
        <v>210</v>
      </c>
      <c r="B11" s="229"/>
    </row>
    <row r="12" spans="1:2" ht="11.25">
      <c r="A12" s="32" t="s">
        <v>222</v>
      </c>
      <c r="B12" s="229"/>
    </row>
    <row r="13" spans="1:2" ht="11.25">
      <c r="A13" s="90" t="s">
        <v>154</v>
      </c>
      <c r="B13" s="230"/>
    </row>
    <row r="14" spans="1:2" ht="11.25">
      <c r="A14" s="32" t="s">
        <v>155</v>
      </c>
      <c r="B14" s="231"/>
    </row>
    <row r="15" spans="1:2" ht="11.25">
      <c r="A15" s="32" t="s">
        <v>156</v>
      </c>
      <c r="B15" s="230"/>
    </row>
    <row r="16" spans="1:2" ht="11.25">
      <c r="A16" s="31" t="s">
        <v>157</v>
      </c>
      <c r="B16" s="229"/>
    </row>
    <row r="17" spans="1:2" ht="11.25">
      <c r="A17" s="90" t="s">
        <v>158</v>
      </c>
      <c r="B17" s="230"/>
    </row>
    <row r="18" spans="1:2" ht="11.25">
      <c r="A18" s="32" t="s">
        <v>211</v>
      </c>
      <c r="B18" s="229"/>
    </row>
    <row r="19" spans="1:2" ht="11.25">
      <c r="A19" s="32" t="s">
        <v>212</v>
      </c>
      <c r="B19" s="229"/>
    </row>
    <row r="20" spans="1:2" ht="11.25">
      <c r="A20" s="90" t="s">
        <v>159</v>
      </c>
      <c r="B20" s="232">
        <f>IF(B15-B16-B17&lt;0,"SEM MARGEM",B15-B16-B17)</f>
        <v>0</v>
      </c>
    </row>
    <row r="21" spans="1:2" ht="11.25">
      <c r="A21" s="428" t="s">
        <v>178</v>
      </c>
      <c r="B21" s="587"/>
    </row>
    <row r="22" ht="11.25">
      <c r="A22" s="233"/>
    </row>
    <row r="23" spans="1:2" ht="11.25">
      <c r="A23" s="234"/>
      <c r="B23" s="234"/>
    </row>
    <row r="24" ht="11.25">
      <c r="A24" s="234"/>
    </row>
    <row r="25" ht="11.25">
      <c r="A25" s="234"/>
    </row>
    <row r="26" ht="11.25">
      <c r="A26" s="234"/>
    </row>
    <row r="27" ht="11.25">
      <c r="A27" s="234"/>
    </row>
    <row r="28" ht="11.25">
      <c r="A28" s="234"/>
    </row>
    <row r="29" ht="11.25">
      <c r="A29" s="234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38.8515625" style="34" customWidth="1"/>
    <col min="2" max="2" width="15.7109375" style="34" customWidth="1"/>
    <col min="3" max="3" width="36.8515625" style="34" customWidth="1"/>
    <col min="4" max="4" width="15.7109375" style="34" customWidth="1"/>
    <col min="5" max="5" width="9.140625" style="34" customWidth="1"/>
  </cols>
  <sheetData>
    <row r="1" spans="1:4" ht="12.75">
      <c r="A1" s="595" t="str">
        <f>Parâmetros!A7</f>
        <v>Município de : Boqueirão do Leão - RS</v>
      </c>
      <c r="B1" s="596"/>
      <c r="C1" s="596"/>
      <c r="D1" s="596"/>
    </row>
    <row r="2" spans="1:4" ht="12.75">
      <c r="A2" s="596" t="s">
        <v>42</v>
      </c>
      <c r="B2" s="596"/>
      <c r="C2" s="596"/>
      <c r="D2" s="596"/>
    </row>
    <row r="3" spans="1:4" ht="12.75">
      <c r="A3" s="596" t="s">
        <v>297</v>
      </c>
      <c r="B3" s="596"/>
      <c r="C3" s="596"/>
      <c r="D3" s="596"/>
    </row>
    <row r="4" spans="1:4" ht="12.75">
      <c r="A4" s="597" t="s">
        <v>160</v>
      </c>
      <c r="B4" s="597"/>
      <c r="C4" s="597"/>
      <c r="D4" s="597"/>
    </row>
    <row r="5" spans="1:4" ht="12.75">
      <c r="A5" s="596" t="s">
        <v>406</v>
      </c>
      <c r="B5" s="596"/>
      <c r="C5" s="596"/>
      <c r="D5" s="596"/>
    </row>
    <row r="6" spans="1:4" ht="12.75">
      <c r="A6" s="598"/>
      <c r="B6" s="598"/>
      <c r="C6" s="598"/>
      <c r="D6" s="598"/>
    </row>
    <row r="7" spans="1:4" ht="12.75">
      <c r="A7" s="588" t="s">
        <v>298</v>
      </c>
      <c r="B7" s="588"/>
      <c r="C7" s="589">
        <v>1</v>
      </c>
      <c r="D7" s="589"/>
    </row>
    <row r="8" spans="1:4" ht="12.75">
      <c r="A8" s="591" t="s">
        <v>299</v>
      </c>
      <c r="B8" s="591"/>
      <c r="C8" s="591" t="s">
        <v>161</v>
      </c>
      <c r="D8" s="591"/>
    </row>
    <row r="9" spans="1:4" ht="12.75">
      <c r="A9" s="273" t="s">
        <v>162</v>
      </c>
      <c r="B9" s="273" t="s">
        <v>98</v>
      </c>
      <c r="C9" s="273" t="s">
        <v>162</v>
      </c>
      <c r="D9" s="273" t="s">
        <v>98</v>
      </c>
    </row>
    <row r="10" spans="1:4" ht="12.75">
      <c r="A10" s="245" t="s">
        <v>300</v>
      </c>
      <c r="B10" s="246"/>
      <c r="C10" s="247"/>
      <c r="D10" s="246"/>
    </row>
    <row r="11" spans="1:4" ht="12.75">
      <c r="A11" s="245" t="s">
        <v>301</v>
      </c>
      <c r="B11" s="246"/>
      <c r="C11" s="247"/>
      <c r="D11" s="246"/>
    </row>
    <row r="12" spans="1:4" ht="12.75">
      <c r="A12" s="245" t="s">
        <v>302</v>
      </c>
      <c r="B12" s="246"/>
      <c r="C12" s="247"/>
      <c r="D12" s="246"/>
    </row>
    <row r="13" spans="1:4" ht="12.75">
      <c r="A13" s="245" t="s">
        <v>303</v>
      </c>
      <c r="B13" s="246"/>
      <c r="C13" s="247"/>
      <c r="D13" s="246"/>
    </row>
    <row r="14" spans="1:4" ht="12.75">
      <c r="A14" s="245" t="s">
        <v>304</v>
      </c>
      <c r="B14" s="246"/>
      <c r="C14" s="247"/>
      <c r="D14" s="246"/>
    </row>
    <row r="15" spans="1:4" ht="12.75">
      <c r="A15" s="245" t="s">
        <v>305</v>
      </c>
      <c r="B15" s="246"/>
      <c r="C15" s="247"/>
      <c r="D15" s="246"/>
    </row>
    <row r="16" spans="1:4" ht="12.75">
      <c r="A16" s="276" t="s">
        <v>306</v>
      </c>
      <c r="B16" s="277">
        <f>SUM(B10:B15)</f>
        <v>0</v>
      </c>
      <c r="C16" s="274" t="s">
        <v>306</v>
      </c>
      <c r="D16" s="275">
        <f>SUM(D10:D15)</f>
        <v>0</v>
      </c>
    </row>
    <row r="17" spans="1:4" ht="12.75">
      <c r="A17" s="592"/>
      <c r="B17" s="592"/>
      <c r="C17" s="593"/>
      <c r="D17" s="594"/>
    </row>
    <row r="18" spans="1:4" ht="12.75">
      <c r="A18" s="590" t="s">
        <v>307</v>
      </c>
      <c r="B18" s="590"/>
      <c r="C18" s="591" t="s">
        <v>161</v>
      </c>
      <c r="D18" s="591"/>
    </row>
    <row r="19" spans="1:4" ht="12.75">
      <c r="A19" s="273" t="s">
        <v>162</v>
      </c>
      <c r="B19" s="273" t="s">
        <v>98</v>
      </c>
      <c r="C19" s="273" t="s">
        <v>162</v>
      </c>
      <c r="D19" s="273" t="s">
        <v>98</v>
      </c>
    </row>
    <row r="20" spans="1:4" ht="12.75">
      <c r="A20" s="248" t="s">
        <v>308</v>
      </c>
      <c r="B20" s="249"/>
      <c r="C20" s="250"/>
      <c r="D20" s="249"/>
    </row>
    <row r="21" spans="1:4" ht="12.75">
      <c r="A21" s="248" t="s">
        <v>309</v>
      </c>
      <c r="B21" s="249"/>
      <c r="C21" s="250"/>
      <c r="D21" s="249"/>
    </row>
    <row r="22" spans="1:4" ht="12.75">
      <c r="A22" s="248" t="s">
        <v>310</v>
      </c>
      <c r="B22" s="249"/>
      <c r="C22" s="250"/>
      <c r="D22" s="249"/>
    </row>
    <row r="23" spans="1:4" ht="12.75">
      <c r="A23" s="248" t="s">
        <v>311</v>
      </c>
      <c r="B23" s="249"/>
      <c r="C23" s="250"/>
      <c r="D23" s="249"/>
    </row>
    <row r="24" spans="1:4" ht="12.75">
      <c r="A24" s="248" t="s">
        <v>306</v>
      </c>
      <c r="B24" s="249">
        <f>SUM(B20:B23)</f>
        <v>0</v>
      </c>
      <c r="C24" s="248" t="s">
        <v>306</v>
      </c>
      <c r="D24" s="249">
        <f>SUM(D20:D23)</f>
        <v>0</v>
      </c>
    </row>
    <row r="25" spans="1:4" ht="12.75">
      <c r="A25" s="274" t="s">
        <v>130</v>
      </c>
      <c r="B25" s="275">
        <f>B16+B24</f>
        <v>0</v>
      </c>
      <c r="C25" s="274" t="s">
        <v>130</v>
      </c>
      <c r="D25" s="275">
        <f>D16+D24</f>
        <v>0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A7:B7"/>
    <mergeCell ref="C7:D7"/>
    <mergeCell ref="A18:B18"/>
    <mergeCell ref="C18:D18"/>
    <mergeCell ref="A8:B8"/>
    <mergeCell ref="C8:D8"/>
    <mergeCell ref="A17:B17"/>
    <mergeCell ref="C17:D17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50.00390625" style="0" customWidth="1"/>
    <col min="3" max="3" width="9.8515625" style="0" customWidth="1"/>
    <col min="4" max="4" width="12.00390625" style="0" customWidth="1"/>
    <col min="5" max="5" width="20.28125" style="0" customWidth="1"/>
  </cols>
  <sheetData>
    <row r="1" spans="1:5" ht="12.75">
      <c r="A1" s="604" t="s">
        <v>408</v>
      </c>
      <c r="B1" s="605"/>
      <c r="C1" s="605"/>
      <c r="D1" s="605"/>
      <c r="E1" s="606"/>
    </row>
    <row r="2" spans="1:5" ht="12.75">
      <c r="A2" s="607" t="s">
        <v>351</v>
      </c>
      <c r="B2" s="391"/>
      <c r="C2" s="391"/>
      <c r="D2" s="391"/>
      <c r="E2" s="608"/>
    </row>
    <row r="3" spans="1:5" ht="12.75">
      <c r="A3" s="315"/>
      <c r="B3" s="316"/>
      <c r="C3" s="316"/>
      <c r="D3" s="316"/>
      <c r="E3" s="317"/>
    </row>
    <row r="4" spans="1:5" ht="12.75">
      <c r="A4" s="609" t="s">
        <v>352</v>
      </c>
      <c r="B4" s="610"/>
      <c r="C4" s="316"/>
      <c r="D4" s="316"/>
      <c r="E4" s="317"/>
    </row>
    <row r="5" spans="1:5" ht="12.75">
      <c r="A5" s="609" t="s">
        <v>353</v>
      </c>
      <c r="B5" s="391"/>
      <c r="C5" s="316"/>
      <c r="D5" s="316"/>
      <c r="E5" s="317"/>
    </row>
    <row r="6" spans="1:5" ht="13.5" thickBot="1">
      <c r="A6" s="318"/>
      <c r="B6" s="319"/>
      <c r="C6" s="319"/>
      <c r="D6" s="319"/>
      <c r="E6" s="320"/>
    </row>
    <row r="7" spans="1:5" ht="12.75">
      <c r="A7" s="611" t="s">
        <v>354</v>
      </c>
      <c r="B7" s="321" t="s">
        <v>355</v>
      </c>
      <c r="C7" s="611" t="s">
        <v>356</v>
      </c>
      <c r="D7" s="614"/>
      <c r="E7" s="321"/>
    </row>
    <row r="8" spans="1:5" ht="12.75">
      <c r="A8" s="612"/>
      <c r="B8" s="322"/>
      <c r="C8" s="612"/>
      <c r="D8" s="615"/>
      <c r="E8" s="322">
        <v>2017</v>
      </c>
    </row>
    <row r="9" spans="1:5" ht="13.5" thickBot="1">
      <c r="A9" s="613"/>
      <c r="B9" s="323" t="s">
        <v>357</v>
      </c>
      <c r="C9" s="613"/>
      <c r="D9" s="616"/>
      <c r="E9" s="324"/>
    </row>
    <row r="10" spans="1:5" ht="12.75">
      <c r="A10" s="599"/>
      <c r="B10" s="599"/>
      <c r="C10" s="599"/>
      <c r="D10" s="325" t="s">
        <v>358</v>
      </c>
      <c r="E10" s="599"/>
    </row>
    <row r="11" spans="1:5" ht="13.5" thickBot="1">
      <c r="A11" s="600"/>
      <c r="B11" s="600"/>
      <c r="C11" s="600"/>
      <c r="D11" s="326" t="s">
        <v>98</v>
      </c>
      <c r="E11" s="600"/>
    </row>
    <row r="12" spans="1:5" ht="12.75">
      <c r="A12" s="599"/>
      <c r="B12" s="599"/>
      <c r="C12" s="599"/>
      <c r="D12" s="325" t="s">
        <v>358</v>
      </c>
      <c r="E12" s="599"/>
    </row>
    <row r="13" spans="1:5" ht="13.5" thickBot="1">
      <c r="A13" s="600"/>
      <c r="B13" s="600"/>
      <c r="C13" s="600"/>
      <c r="D13" s="326" t="s">
        <v>98</v>
      </c>
      <c r="E13" s="600"/>
    </row>
    <row r="14" spans="1:5" ht="12.75">
      <c r="A14" s="599"/>
      <c r="B14" s="599"/>
      <c r="C14" s="599"/>
      <c r="D14" s="325" t="s">
        <v>358</v>
      </c>
      <c r="E14" s="599"/>
    </row>
    <row r="15" spans="1:5" ht="13.5" thickBot="1">
      <c r="A15" s="600"/>
      <c r="B15" s="600"/>
      <c r="C15" s="600"/>
      <c r="D15" s="326" t="s">
        <v>98</v>
      </c>
      <c r="E15" s="600"/>
    </row>
    <row r="16" spans="1:5" ht="12.75">
      <c r="A16" s="599"/>
      <c r="B16" s="599"/>
      <c r="C16" s="599"/>
      <c r="D16" s="325" t="s">
        <v>358</v>
      </c>
      <c r="E16" s="599"/>
    </row>
    <row r="17" spans="1:5" ht="13.5" thickBot="1">
      <c r="A17" s="600"/>
      <c r="B17" s="600"/>
      <c r="C17" s="600"/>
      <c r="D17" s="326" t="s">
        <v>98</v>
      </c>
      <c r="E17" s="600"/>
    </row>
    <row r="18" spans="1:5" ht="12.75">
      <c r="A18" s="599"/>
      <c r="B18" s="599"/>
      <c r="C18" s="599"/>
      <c r="D18" s="325" t="s">
        <v>358</v>
      </c>
      <c r="E18" s="599"/>
    </row>
    <row r="19" spans="1:5" ht="13.5" thickBot="1">
      <c r="A19" s="600"/>
      <c r="B19" s="600"/>
      <c r="C19" s="600"/>
      <c r="D19" s="326" t="s">
        <v>98</v>
      </c>
      <c r="E19" s="600"/>
    </row>
    <row r="20" spans="1:5" ht="12.75">
      <c r="A20" s="599"/>
      <c r="B20" s="599"/>
      <c r="C20" s="599"/>
      <c r="D20" s="325" t="s">
        <v>358</v>
      </c>
      <c r="E20" s="599"/>
    </row>
    <row r="21" spans="1:5" ht="13.5" thickBot="1">
      <c r="A21" s="600"/>
      <c r="B21" s="600"/>
      <c r="C21" s="600"/>
      <c r="D21" s="326" t="s">
        <v>98</v>
      </c>
      <c r="E21" s="600"/>
    </row>
    <row r="22" spans="1:5" ht="12.75">
      <c r="A22" s="599"/>
      <c r="B22" s="599"/>
      <c r="C22" s="599"/>
      <c r="D22" s="325" t="s">
        <v>358</v>
      </c>
      <c r="E22" s="599"/>
    </row>
    <row r="23" spans="1:5" ht="13.5" thickBot="1">
      <c r="A23" s="600"/>
      <c r="B23" s="600"/>
      <c r="C23" s="600"/>
      <c r="D23" s="326" t="s">
        <v>98</v>
      </c>
      <c r="E23" s="600"/>
    </row>
    <row r="24" spans="1:5" ht="12.75">
      <c r="A24" s="599"/>
      <c r="B24" s="599"/>
      <c r="C24" s="599"/>
      <c r="D24" s="325" t="s">
        <v>358</v>
      </c>
      <c r="E24" s="599"/>
    </row>
    <row r="25" spans="1:5" ht="13.5" thickBot="1">
      <c r="A25" s="600"/>
      <c r="B25" s="600"/>
      <c r="C25" s="600"/>
      <c r="D25" s="326" t="s">
        <v>98</v>
      </c>
      <c r="E25" s="600"/>
    </row>
    <row r="26" spans="1:5" ht="12.75">
      <c r="A26" s="599"/>
      <c r="B26" s="599"/>
      <c r="C26" s="599"/>
      <c r="D26" s="325" t="s">
        <v>358</v>
      </c>
      <c r="E26" s="599"/>
    </row>
    <row r="27" spans="1:5" ht="13.5" thickBot="1">
      <c r="A27" s="600"/>
      <c r="B27" s="600"/>
      <c r="C27" s="600"/>
      <c r="D27" s="326" t="s">
        <v>98</v>
      </c>
      <c r="E27" s="600"/>
    </row>
    <row r="28" spans="1:5" ht="12.75">
      <c r="A28" s="599"/>
      <c r="B28" s="599"/>
      <c r="C28" s="599"/>
      <c r="D28" s="325" t="s">
        <v>358</v>
      </c>
      <c r="E28" s="599"/>
    </row>
    <row r="29" spans="1:5" ht="13.5" thickBot="1">
      <c r="A29" s="600"/>
      <c r="B29" s="600"/>
      <c r="C29" s="600"/>
      <c r="D29" s="326" t="s">
        <v>98</v>
      </c>
      <c r="E29" s="600"/>
    </row>
    <row r="30" spans="1:5" ht="12.75">
      <c r="A30" s="599"/>
      <c r="B30" s="599"/>
      <c r="C30" s="599"/>
      <c r="D30" s="325" t="s">
        <v>358</v>
      </c>
      <c r="E30" s="599"/>
    </row>
    <row r="31" spans="1:5" ht="13.5" thickBot="1">
      <c r="A31" s="600"/>
      <c r="B31" s="600"/>
      <c r="C31" s="600"/>
      <c r="D31" s="326" t="s">
        <v>98</v>
      </c>
      <c r="E31" s="600"/>
    </row>
    <row r="32" spans="1:5" ht="12.75">
      <c r="A32" s="599"/>
      <c r="B32" s="599"/>
      <c r="C32" s="599"/>
      <c r="D32" s="325" t="s">
        <v>358</v>
      </c>
      <c r="E32" s="599"/>
    </row>
    <row r="33" spans="1:5" ht="13.5" thickBot="1">
      <c r="A33" s="600"/>
      <c r="B33" s="600"/>
      <c r="C33" s="600"/>
      <c r="D33" s="325" t="s">
        <v>98</v>
      </c>
      <c r="E33" s="600"/>
    </row>
    <row r="34" spans="1:5" ht="13.5" thickBot="1">
      <c r="A34" s="601" t="s">
        <v>359</v>
      </c>
      <c r="B34" s="602"/>
      <c r="C34" s="602"/>
      <c r="D34" s="603"/>
      <c r="E34" s="327"/>
    </row>
    <row r="35" spans="1:2" ht="12.75">
      <c r="A35" s="328" t="s">
        <v>360</v>
      </c>
      <c r="B35" s="328" t="s">
        <v>361</v>
      </c>
    </row>
  </sheetData>
  <sheetProtection/>
  <mergeCells count="56">
    <mergeCell ref="A1:E1"/>
    <mergeCell ref="A2:E2"/>
    <mergeCell ref="A4:B4"/>
    <mergeCell ref="A5:B5"/>
    <mergeCell ref="A7:A9"/>
    <mergeCell ref="C7:C9"/>
    <mergeCell ref="D7:D9"/>
    <mergeCell ref="A10:A11"/>
    <mergeCell ref="B10:B11"/>
    <mergeCell ref="C10:C11"/>
    <mergeCell ref="E10:E11"/>
    <mergeCell ref="A12:A13"/>
    <mergeCell ref="B12:B13"/>
    <mergeCell ref="C12:C13"/>
    <mergeCell ref="E12:E13"/>
    <mergeCell ref="A14:A15"/>
    <mergeCell ref="B14:B15"/>
    <mergeCell ref="C14:C15"/>
    <mergeCell ref="E14:E15"/>
    <mergeCell ref="A16:A17"/>
    <mergeCell ref="B16:B17"/>
    <mergeCell ref="C16:C17"/>
    <mergeCell ref="E16:E17"/>
    <mergeCell ref="A18:A19"/>
    <mergeCell ref="B18:B19"/>
    <mergeCell ref="C18:C19"/>
    <mergeCell ref="E18:E19"/>
    <mergeCell ref="A20:A21"/>
    <mergeCell ref="B20:B21"/>
    <mergeCell ref="C20:C21"/>
    <mergeCell ref="E20:E21"/>
    <mergeCell ref="A22:A23"/>
    <mergeCell ref="B22:B23"/>
    <mergeCell ref="C22:C23"/>
    <mergeCell ref="E22:E23"/>
    <mergeCell ref="A24:A25"/>
    <mergeCell ref="B24:B25"/>
    <mergeCell ref="C24:C25"/>
    <mergeCell ref="E24:E25"/>
    <mergeCell ref="A26:A27"/>
    <mergeCell ref="B26:B27"/>
    <mergeCell ref="C26:C27"/>
    <mergeCell ref="E26:E27"/>
    <mergeCell ref="A28:A29"/>
    <mergeCell ref="B28:B29"/>
    <mergeCell ref="C28:C29"/>
    <mergeCell ref="E28:E29"/>
    <mergeCell ref="E32:E33"/>
    <mergeCell ref="A30:A31"/>
    <mergeCell ref="B30:B31"/>
    <mergeCell ref="C30:C31"/>
    <mergeCell ref="E30:E31"/>
    <mergeCell ref="A34:D34"/>
    <mergeCell ref="A32:A33"/>
    <mergeCell ref="B32:B33"/>
    <mergeCell ref="C32:C3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/>
  <dimension ref="A7:J64"/>
  <sheetViews>
    <sheetView showGridLines="0" view="pageBreakPreview" zoomScale="75" zoomScaleSheetLayoutView="75" workbookViewId="0" topLeftCell="A28">
      <selection activeCell="D18" sqref="D18"/>
    </sheetView>
  </sheetViews>
  <sheetFormatPr defaultColWidth="8.8515625" defaultRowHeight="12.75"/>
  <cols>
    <col min="1" max="1" width="53.57421875" style="95" customWidth="1"/>
    <col min="2" max="2" width="16.8515625" style="95" customWidth="1"/>
    <col min="3" max="3" width="16.57421875" style="95" customWidth="1"/>
    <col min="4" max="4" width="13.00390625" style="95" customWidth="1"/>
    <col min="5" max="5" width="14.57421875" style="95" customWidth="1"/>
    <col min="6" max="6" width="15.8515625" style="95" customWidth="1"/>
    <col min="7" max="7" width="15.140625" style="95" customWidth="1"/>
    <col min="8" max="11" width="8.8515625" style="95" customWidth="1"/>
    <col min="12" max="12" width="12.28125" style="95" customWidth="1"/>
    <col min="13" max="16384" width="8.8515625" style="95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392" t="s">
        <v>401</v>
      </c>
      <c r="B7" s="393"/>
      <c r="C7" s="393"/>
      <c r="D7" s="393"/>
      <c r="E7" s="393"/>
      <c r="F7" s="393"/>
      <c r="G7" s="393"/>
      <c r="H7" s="393"/>
      <c r="I7" s="393"/>
      <c r="J7" s="394"/>
    </row>
    <row r="8" spans="1:10" ht="12">
      <c r="A8" s="395" t="s">
        <v>405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ht="21" customHeight="1">
      <c r="A9" s="396" t="s">
        <v>278</v>
      </c>
      <c r="B9" s="397"/>
      <c r="C9" s="397"/>
      <c r="D9" s="397"/>
      <c r="E9" s="397"/>
      <c r="F9" s="397"/>
      <c r="G9" s="397"/>
      <c r="H9" s="398"/>
      <c r="I9" s="398"/>
      <c r="J9" s="399"/>
    </row>
    <row r="10" spans="1:10" ht="25.5" customHeight="1">
      <c r="A10" s="295" t="s">
        <v>219</v>
      </c>
      <c r="B10" s="295">
        <v>2015</v>
      </c>
      <c r="C10" s="295">
        <v>2016</v>
      </c>
      <c r="D10" s="295">
        <v>2017</v>
      </c>
      <c r="E10" s="295">
        <v>2018</v>
      </c>
      <c r="F10" s="295">
        <v>2019</v>
      </c>
      <c r="G10" s="295">
        <v>2020</v>
      </c>
      <c r="H10" s="104"/>
      <c r="I10" s="104"/>
      <c r="J10" s="104"/>
    </row>
    <row r="11" spans="1:7" ht="12.75">
      <c r="A11" s="296" t="s">
        <v>201</v>
      </c>
      <c r="B11" s="357">
        <v>0.1067</v>
      </c>
      <c r="C11" s="357">
        <v>0.072</v>
      </c>
      <c r="D11" s="361">
        <v>0.0334</v>
      </c>
      <c r="E11" s="361">
        <v>0.0425</v>
      </c>
      <c r="F11" s="361">
        <v>0.0426</v>
      </c>
      <c r="G11" s="361">
        <v>0.0416</v>
      </c>
    </row>
    <row r="12" spans="1:7" ht="12.75">
      <c r="A12" s="296" t="s">
        <v>202</v>
      </c>
      <c r="B12" s="357">
        <v>-0.038</v>
      </c>
      <c r="C12" s="357">
        <v>-0.0324</v>
      </c>
      <c r="D12" s="361">
        <v>0.0041</v>
      </c>
      <c r="E12" s="361">
        <v>0.0217</v>
      </c>
      <c r="F12" s="361">
        <v>0.0253</v>
      </c>
      <c r="G12" s="361">
        <v>0.0248</v>
      </c>
    </row>
    <row r="13" spans="1:7" ht="12.75">
      <c r="A13" s="297" t="s">
        <v>203</v>
      </c>
      <c r="B13" s="298">
        <f>IF(Projeções!C42=0,"-",((Projeções!D42/Projeções!C42)-1)-B11-B17)</f>
        <v>-0.11686067281695516</v>
      </c>
      <c r="C13" s="298">
        <f>IF(Projeções!D42=0,"-",((Projeções!E42/Projeções!D42)-1)-C11-C17)</f>
        <v>0.0012017209761058245</v>
      </c>
      <c r="D13" s="298">
        <f>IF(Projeções!E42=0,"-",((Projeções!F42/Projeções!E42)-1)-D11-D17)</f>
        <v>-0.08090000000000001</v>
      </c>
      <c r="E13" s="361">
        <f aca="true" t="shared" si="0" ref="E13:G16">(B13+C13+D13)/3</f>
        <v>-0.06551965061361645</v>
      </c>
      <c r="F13" s="361">
        <f t="shared" si="0"/>
        <v>-0.04840597654583687</v>
      </c>
      <c r="G13" s="361">
        <f t="shared" si="0"/>
        <v>-0.06494187571981777</v>
      </c>
    </row>
    <row r="14" spans="1:7" ht="12.75">
      <c r="A14" s="299" t="s">
        <v>204</v>
      </c>
      <c r="B14" s="298">
        <f>IF(Projeções!C48=0,"-",((Projeções!D48/Projeções!C48)-1)-B11-B12)</f>
        <v>-0.038366503510827175</v>
      </c>
      <c r="C14" s="298">
        <f>IF(Projeções!D48=0,"-",((Projeções!E48/Projeções!D48)-1)-C11-C12)</f>
        <v>0.2029558640259273</v>
      </c>
      <c r="D14" s="298">
        <f>IF(Projeções!E48=0,"-",((Projeções!F48/Projeções!E48)-1)-D11-D12)</f>
        <v>0.004999999999999983</v>
      </c>
      <c r="E14" s="361">
        <v>0.0425</v>
      </c>
      <c r="F14" s="361">
        <v>0.0426</v>
      </c>
      <c r="G14" s="361">
        <v>0.0416</v>
      </c>
    </row>
    <row r="15" spans="1:7" ht="12.75">
      <c r="A15" s="299" t="s">
        <v>205</v>
      </c>
      <c r="B15" s="298">
        <f>IF(Projeções!C11=0,"-",((Projeções!D11/Projeções!C11)-1)-B11-B12)</f>
        <v>-0.08115324556557549</v>
      </c>
      <c r="C15" s="298">
        <f>IF(Projeções!D11=0,"-",((Projeções!E11/Projeções!D11)-1)-C11-C12)</f>
        <v>0.07697724388418634</v>
      </c>
      <c r="D15" s="298">
        <f>IF(Projeções!E11=0,"-",((Projeções!F11/Projeções!E11)-1)-D11-D12)</f>
        <v>0.004999999999999983</v>
      </c>
      <c r="E15" s="361">
        <f t="shared" si="0"/>
        <v>0.0002746661062036102</v>
      </c>
      <c r="F15" s="361">
        <f t="shared" si="0"/>
        <v>0.027417303330129972</v>
      </c>
      <c r="G15" s="361">
        <f t="shared" si="0"/>
        <v>0.010897323145444523</v>
      </c>
    </row>
    <row r="16" spans="1:7" ht="12.75">
      <c r="A16" s="299" t="s">
        <v>206</v>
      </c>
      <c r="B16" s="298">
        <f>IF(Projeções!C23=0,"-",((Projeções!D23/Projeções!C23)-1)-B11-B12)</f>
        <v>-0.046353979895465545</v>
      </c>
      <c r="C16" s="298">
        <f>IF(Projeções!D23=0,"-",((Projeções!E23/Projeções!D23)-1)-C11-C12)</f>
        <v>0.15972183731775697</v>
      </c>
      <c r="D16" s="298">
        <f>IF(Projeções!E23=0,"-",((Projeções!F23/Projeções!E23)-1)-D11-D12)</f>
        <v>0.004999999999999983</v>
      </c>
      <c r="E16" s="361">
        <f t="shared" si="0"/>
        <v>0.03945595247409713</v>
      </c>
      <c r="F16" s="361">
        <f t="shared" si="0"/>
        <v>0.06805926326395136</v>
      </c>
      <c r="G16" s="361">
        <f t="shared" si="0"/>
        <v>0.037505071912682826</v>
      </c>
    </row>
    <row r="17" spans="1:7" ht="12.75">
      <c r="A17" s="296" t="s">
        <v>207</v>
      </c>
      <c r="B17" s="300">
        <v>0.06</v>
      </c>
      <c r="C17" s="357">
        <v>0.0379</v>
      </c>
      <c r="D17" s="357">
        <v>0.09</v>
      </c>
      <c r="E17" s="361">
        <v>0.065</v>
      </c>
      <c r="F17" s="361">
        <v>0.07</v>
      </c>
      <c r="G17" s="361">
        <v>0.07</v>
      </c>
    </row>
    <row r="18" spans="1:7" ht="12.75">
      <c r="A18" s="301" t="s">
        <v>217</v>
      </c>
      <c r="B18" s="298">
        <f>IF(Projeções!C52=0,"-",((Projeções!D52/Projeções!C52)-1)-B11-B12)</f>
        <v>-0.43597344403389443</v>
      </c>
      <c r="C18" s="298">
        <f>IF(Projeções!D52=0,"-",((Projeções!E52/Projeções!D52)-1)-C11-C12)</f>
        <v>0.10650128582991844</v>
      </c>
      <c r="D18" s="298">
        <f>IF(Projeções!E52=0,"-",((Projeções!F52/Projeções!E52)-1)-D11-D12)</f>
        <v>0.004999999999999983</v>
      </c>
      <c r="E18" s="361">
        <v>0.025</v>
      </c>
      <c r="F18" s="361">
        <v>0.025</v>
      </c>
      <c r="G18" s="361">
        <v>0.025</v>
      </c>
    </row>
    <row r="19" spans="1:7" ht="12.75">
      <c r="A19" s="301" t="s">
        <v>392</v>
      </c>
      <c r="B19" s="298">
        <v>0.1425</v>
      </c>
      <c r="C19" s="298">
        <v>0.1375</v>
      </c>
      <c r="D19" s="361">
        <v>0.0975</v>
      </c>
      <c r="E19" s="361">
        <v>0.105</v>
      </c>
      <c r="F19" s="361">
        <v>0.11</v>
      </c>
      <c r="G19" s="361">
        <v>0.11</v>
      </c>
    </row>
    <row r="20" spans="1:7" ht="12.75">
      <c r="A20" s="301" t="s">
        <v>223</v>
      </c>
      <c r="B20" s="358">
        <f>38897.51/0.1079</f>
        <v>360495.92215013906</v>
      </c>
      <c r="C20" s="358">
        <f>40362.31/0.1029</f>
        <v>392247.9105928085</v>
      </c>
      <c r="D20" s="302">
        <f>50295.39/0.1322</f>
        <v>380449.2435703479</v>
      </c>
      <c r="E20" s="302">
        <f>51996.31/0.1153</f>
        <v>450965.39462272334</v>
      </c>
      <c r="F20" s="302">
        <f>56323.12/0.1142</f>
        <v>493197.1978984239</v>
      </c>
      <c r="G20" s="302">
        <f>59060.8/0.1099</f>
        <v>537404.9135577799</v>
      </c>
    </row>
    <row r="21" spans="1:7" ht="14.25">
      <c r="A21" s="156"/>
      <c r="B21" s="156"/>
      <c r="C21" s="40"/>
      <c r="D21" s="40"/>
      <c r="E21" s="40"/>
      <c r="F21" s="40"/>
      <c r="G21" s="40"/>
    </row>
    <row r="22" spans="1:7" ht="12" customHeight="1">
      <c r="A22" s="390"/>
      <c r="B22" s="391"/>
      <c r="C22" s="391"/>
      <c r="D22" s="391"/>
      <c r="E22" s="391"/>
      <c r="F22" s="391"/>
      <c r="G22" s="391"/>
    </row>
    <row r="23" spans="1:8" ht="12" customHeight="1">
      <c r="A23" s="391"/>
      <c r="B23" s="391"/>
      <c r="C23" s="391"/>
      <c r="D23" s="391"/>
      <c r="E23" s="391"/>
      <c r="F23" s="391"/>
      <c r="G23" s="391"/>
      <c r="H23" s="120"/>
    </row>
    <row r="24" spans="1:8" ht="12" customHeight="1">
      <c r="A24" s="391"/>
      <c r="B24" s="391"/>
      <c r="C24" s="391"/>
      <c r="D24" s="391"/>
      <c r="E24" s="391"/>
      <c r="F24" s="391"/>
      <c r="G24" s="391"/>
      <c r="H24" s="120"/>
    </row>
    <row r="25" spans="1:8" ht="12" customHeight="1">
      <c r="A25" s="391"/>
      <c r="B25" s="391"/>
      <c r="C25" s="391"/>
      <c r="D25" s="391"/>
      <c r="E25" s="391"/>
      <c r="F25" s="391"/>
      <c r="G25" s="391"/>
      <c r="H25" s="120"/>
    </row>
    <row r="26" spans="1:8" ht="58.5" customHeight="1">
      <c r="A26" s="391"/>
      <c r="B26" s="391"/>
      <c r="C26" s="391"/>
      <c r="D26" s="391"/>
      <c r="E26" s="391"/>
      <c r="F26" s="391"/>
      <c r="G26" s="391"/>
      <c r="H26" s="120"/>
    </row>
    <row r="27" spans="1:8" ht="12" customHeight="1">
      <c r="A27" s="391"/>
      <c r="B27" s="391"/>
      <c r="C27" s="391"/>
      <c r="D27" s="391"/>
      <c r="E27" s="391"/>
      <c r="F27" s="391"/>
      <c r="G27" s="391"/>
      <c r="H27" s="120"/>
    </row>
    <row r="28" spans="1:8" ht="12" customHeight="1">
      <c r="A28" s="391"/>
      <c r="B28" s="391"/>
      <c r="C28" s="391"/>
      <c r="D28" s="391"/>
      <c r="E28" s="391"/>
      <c r="F28" s="391"/>
      <c r="G28" s="391"/>
      <c r="H28" s="120"/>
    </row>
    <row r="29" spans="1:8" ht="12" customHeight="1">
      <c r="A29" s="391"/>
      <c r="B29" s="391"/>
      <c r="C29" s="391"/>
      <c r="D29" s="391"/>
      <c r="E29" s="391"/>
      <c r="F29" s="391"/>
      <c r="G29" s="391"/>
      <c r="H29" s="120"/>
    </row>
    <row r="30" spans="1:8" ht="12" customHeight="1">
      <c r="A30" s="391"/>
      <c r="B30" s="391"/>
      <c r="C30" s="391"/>
      <c r="D30" s="391"/>
      <c r="E30" s="391"/>
      <c r="F30" s="391"/>
      <c r="G30" s="391"/>
      <c r="H30" s="120"/>
    </row>
    <row r="31" spans="1:8" ht="12" customHeight="1">
      <c r="A31" s="391"/>
      <c r="B31" s="391"/>
      <c r="C31" s="391"/>
      <c r="D31" s="391"/>
      <c r="E31" s="391"/>
      <c r="F31" s="391"/>
      <c r="G31" s="391"/>
      <c r="H31" s="120"/>
    </row>
    <row r="32" spans="1:8" ht="12" customHeight="1">
      <c r="A32" s="391"/>
      <c r="B32" s="391"/>
      <c r="C32" s="391"/>
      <c r="D32" s="391"/>
      <c r="E32" s="391"/>
      <c r="F32" s="391"/>
      <c r="G32" s="391"/>
      <c r="H32" s="120"/>
    </row>
    <row r="33" spans="1:8" ht="12" customHeight="1">
      <c r="A33" s="391"/>
      <c r="B33" s="391"/>
      <c r="C33" s="391"/>
      <c r="D33" s="391"/>
      <c r="E33" s="391"/>
      <c r="F33" s="391"/>
      <c r="G33" s="391"/>
      <c r="H33" s="120"/>
    </row>
    <row r="34" spans="1:8" ht="12" customHeight="1">
      <c r="A34" s="391"/>
      <c r="B34" s="391"/>
      <c r="C34" s="391"/>
      <c r="D34" s="391"/>
      <c r="E34" s="391"/>
      <c r="F34" s="391"/>
      <c r="G34" s="391"/>
      <c r="H34" s="120"/>
    </row>
    <row r="35" spans="1:8" ht="12" customHeight="1">
      <c r="A35" s="391"/>
      <c r="B35" s="391"/>
      <c r="C35" s="391"/>
      <c r="D35" s="391"/>
      <c r="E35" s="391"/>
      <c r="F35" s="391"/>
      <c r="G35" s="391"/>
      <c r="H35" s="120"/>
    </row>
    <row r="36" spans="1:8" ht="12" customHeight="1">
      <c r="A36" s="391"/>
      <c r="B36" s="391"/>
      <c r="C36" s="391"/>
      <c r="D36" s="391"/>
      <c r="E36" s="391"/>
      <c r="F36" s="391"/>
      <c r="G36" s="391"/>
      <c r="H36" s="120"/>
    </row>
    <row r="37" spans="1:8" ht="12" customHeight="1">
      <c r="A37" s="391"/>
      <c r="B37" s="391"/>
      <c r="C37" s="391"/>
      <c r="D37" s="391"/>
      <c r="E37" s="391"/>
      <c r="F37" s="391"/>
      <c r="G37" s="391"/>
      <c r="H37" s="120"/>
    </row>
    <row r="38" spans="1:8" ht="12" customHeight="1">
      <c r="A38" s="391"/>
      <c r="B38" s="391"/>
      <c r="C38" s="391"/>
      <c r="D38" s="391"/>
      <c r="E38" s="391"/>
      <c r="F38" s="391"/>
      <c r="G38" s="391"/>
      <c r="H38" s="120"/>
    </row>
    <row r="39" spans="1:8" ht="12" customHeight="1">
      <c r="A39" s="391"/>
      <c r="B39" s="391"/>
      <c r="C39" s="391"/>
      <c r="D39" s="391"/>
      <c r="E39" s="391"/>
      <c r="F39" s="391"/>
      <c r="G39" s="391"/>
      <c r="H39" s="120"/>
    </row>
    <row r="40" spans="1:8" ht="12" customHeight="1">
      <c r="A40" s="391"/>
      <c r="B40" s="391"/>
      <c r="C40" s="391"/>
      <c r="D40" s="391"/>
      <c r="E40" s="391"/>
      <c r="F40" s="391"/>
      <c r="G40" s="391"/>
      <c r="H40" s="120"/>
    </row>
    <row r="41" spans="1:8" ht="12" customHeight="1">
      <c r="A41" s="391"/>
      <c r="B41" s="391"/>
      <c r="C41" s="391"/>
      <c r="D41" s="391"/>
      <c r="E41" s="391"/>
      <c r="F41" s="391"/>
      <c r="G41" s="391"/>
      <c r="H41" s="120"/>
    </row>
    <row r="42" spans="1:8" ht="12" customHeight="1">
      <c r="A42" s="391"/>
      <c r="B42" s="391"/>
      <c r="C42" s="391"/>
      <c r="D42" s="391"/>
      <c r="E42" s="391"/>
      <c r="F42" s="391"/>
      <c r="G42" s="391"/>
      <c r="H42" s="120"/>
    </row>
    <row r="43" spans="1:8" ht="12" customHeight="1">
      <c r="A43" s="391"/>
      <c r="B43" s="391"/>
      <c r="C43" s="391"/>
      <c r="D43" s="391"/>
      <c r="E43" s="391"/>
      <c r="F43" s="391"/>
      <c r="G43" s="391"/>
      <c r="H43" s="120"/>
    </row>
    <row r="44" spans="1:8" ht="12" customHeight="1">
      <c r="A44" s="391"/>
      <c r="B44" s="391"/>
      <c r="C44" s="391"/>
      <c r="D44" s="391"/>
      <c r="E44" s="391"/>
      <c r="F44" s="391"/>
      <c r="G44" s="391"/>
      <c r="H44" s="120"/>
    </row>
    <row r="45" spans="1:8" ht="12" customHeight="1">
      <c r="A45" s="391"/>
      <c r="B45" s="391"/>
      <c r="C45" s="391"/>
      <c r="D45" s="391"/>
      <c r="E45" s="391"/>
      <c r="F45" s="391"/>
      <c r="G45" s="391"/>
      <c r="H45" s="120"/>
    </row>
    <row r="46" spans="1:8" ht="12" customHeight="1">
      <c r="A46" s="391"/>
      <c r="B46" s="391"/>
      <c r="C46" s="391"/>
      <c r="D46" s="391"/>
      <c r="E46" s="391"/>
      <c r="F46" s="391"/>
      <c r="G46" s="391"/>
      <c r="H46" s="120"/>
    </row>
    <row r="47" spans="1:8" ht="12" customHeight="1">
      <c r="A47" s="391"/>
      <c r="B47" s="391"/>
      <c r="C47" s="391"/>
      <c r="D47" s="391"/>
      <c r="E47" s="391"/>
      <c r="F47" s="391"/>
      <c r="G47" s="391"/>
      <c r="H47" s="120"/>
    </row>
    <row r="48" spans="1:8" ht="12" customHeight="1">
      <c r="A48" s="391"/>
      <c r="B48" s="391"/>
      <c r="C48" s="391"/>
      <c r="D48" s="391"/>
      <c r="E48" s="391"/>
      <c r="F48" s="391"/>
      <c r="G48" s="391"/>
      <c r="H48" s="120"/>
    </row>
    <row r="49" spans="1:8" ht="12" customHeight="1">
      <c r="A49" s="391"/>
      <c r="B49" s="391"/>
      <c r="C49" s="391"/>
      <c r="D49" s="391"/>
      <c r="E49" s="391"/>
      <c r="F49" s="391"/>
      <c r="G49" s="391"/>
      <c r="H49" s="120"/>
    </row>
    <row r="50" spans="1:8" ht="12" customHeight="1">
      <c r="A50" s="391"/>
      <c r="B50" s="391"/>
      <c r="C50" s="391"/>
      <c r="D50" s="391"/>
      <c r="E50" s="391"/>
      <c r="F50" s="391"/>
      <c r="G50" s="391"/>
      <c r="H50" s="120"/>
    </row>
    <row r="51" spans="1:8" ht="12" customHeight="1">
      <c r="A51" s="391"/>
      <c r="B51" s="391"/>
      <c r="C51" s="391"/>
      <c r="D51" s="391"/>
      <c r="E51" s="391"/>
      <c r="F51" s="391"/>
      <c r="G51" s="391"/>
      <c r="H51" s="120"/>
    </row>
    <row r="52" spans="1:8" ht="12" customHeight="1">
      <c r="A52" s="391"/>
      <c r="B52" s="391"/>
      <c r="C52" s="391"/>
      <c r="D52" s="391"/>
      <c r="E52" s="391"/>
      <c r="F52" s="391"/>
      <c r="G52" s="391"/>
      <c r="H52" s="120"/>
    </row>
    <row r="53" spans="1:8" ht="12" customHeight="1">
      <c r="A53" s="391"/>
      <c r="B53" s="391"/>
      <c r="C53" s="391"/>
      <c r="D53" s="391"/>
      <c r="E53" s="391"/>
      <c r="F53" s="391"/>
      <c r="G53" s="391"/>
      <c r="H53" s="120"/>
    </row>
    <row r="54" spans="1:8" ht="12" customHeight="1">
      <c r="A54" s="391"/>
      <c r="B54" s="391"/>
      <c r="C54" s="391"/>
      <c r="D54" s="391"/>
      <c r="E54" s="391"/>
      <c r="F54" s="391"/>
      <c r="G54" s="391"/>
      <c r="H54" s="120"/>
    </row>
    <row r="55" spans="1:8" ht="12" customHeight="1">
      <c r="A55" s="391"/>
      <c r="B55" s="391"/>
      <c r="C55" s="391"/>
      <c r="D55" s="391"/>
      <c r="E55" s="391"/>
      <c r="F55" s="391"/>
      <c r="G55" s="391"/>
      <c r="H55" s="120"/>
    </row>
    <row r="56" spans="1:8" ht="12" customHeight="1">
      <c r="A56" s="391"/>
      <c r="B56" s="391"/>
      <c r="C56" s="391"/>
      <c r="D56" s="391"/>
      <c r="E56" s="391"/>
      <c r="F56" s="391"/>
      <c r="G56" s="391"/>
      <c r="H56" s="120"/>
    </row>
    <row r="57" spans="1:8" ht="12" customHeight="1">
      <c r="A57" s="391"/>
      <c r="B57" s="391"/>
      <c r="C57" s="391"/>
      <c r="D57" s="391"/>
      <c r="E57" s="391"/>
      <c r="F57" s="391"/>
      <c r="G57" s="391"/>
      <c r="H57" s="120"/>
    </row>
    <row r="58" spans="1:8" ht="12" customHeight="1">
      <c r="A58" s="391"/>
      <c r="B58" s="391"/>
      <c r="C58" s="391"/>
      <c r="D58" s="391"/>
      <c r="E58" s="391"/>
      <c r="F58" s="391"/>
      <c r="G58" s="391"/>
      <c r="H58" s="120"/>
    </row>
    <row r="59" spans="1:8" ht="12" customHeight="1">
      <c r="A59" s="391"/>
      <c r="B59" s="391"/>
      <c r="C59" s="391"/>
      <c r="D59" s="391"/>
      <c r="E59" s="391"/>
      <c r="F59" s="391"/>
      <c r="G59" s="391"/>
      <c r="H59" s="120"/>
    </row>
    <row r="60" spans="1:8" ht="12" customHeight="1">
      <c r="A60" s="391"/>
      <c r="B60" s="391"/>
      <c r="C60" s="391"/>
      <c r="D60" s="391"/>
      <c r="E60" s="391"/>
      <c r="F60" s="391"/>
      <c r="G60" s="391"/>
      <c r="H60" s="120"/>
    </row>
    <row r="61" spans="1:8" ht="12" customHeight="1">
      <c r="A61" s="391"/>
      <c r="B61" s="391"/>
      <c r="C61" s="391"/>
      <c r="D61" s="391"/>
      <c r="E61" s="391"/>
      <c r="F61" s="391"/>
      <c r="G61" s="391"/>
      <c r="H61" s="120"/>
    </row>
    <row r="62" spans="1:8" ht="12" customHeight="1">
      <c r="A62" s="391"/>
      <c r="B62" s="391"/>
      <c r="C62" s="391"/>
      <c r="D62" s="391"/>
      <c r="E62" s="391"/>
      <c r="F62" s="391"/>
      <c r="G62" s="391"/>
      <c r="H62" s="120"/>
    </row>
    <row r="63" spans="1:8" ht="12" customHeight="1">
      <c r="A63" s="391"/>
      <c r="B63" s="391"/>
      <c r="C63" s="391"/>
      <c r="D63" s="391"/>
      <c r="E63" s="391"/>
      <c r="F63" s="391"/>
      <c r="G63" s="391"/>
      <c r="H63" s="120"/>
    </row>
    <row r="64" spans="1:8" ht="12" customHeight="1">
      <c r="A64" s="391"/>
      <c r="B64" s="391"/>
      <c r="C64" s="391"/>
      <c r="D64" s="391"/>
      <c r="E64" s="391"/>
      <c r="F64" s="391"/>
      <c r="G64" s="391"/>
      <c r="H64" s="120"/>
    </row>
  </sheetData>
  <sheetProtection/>
  <mergeCells count="4">
    <mergeCell ref="A22:G64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300" verticalDpi="3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8" sqref="G8:G9"/>
    </sheetView>
  </sheetViews>
  <sheetFormatPr defaultColWidth="9.140625" defaultRowHeight="12.75"/>
  <cols>
    <col min="3" max="3" width="12.28125" style="0" customWidth="1"/>
    <col min="4" max="5" width="11.28125" style="0" customWidth="1"/>
    <col min="6" max="6" width="12.421875" style="0" customWidth="1"/>
    <col min="7" max="7" width="10.8515625" style="0" customWidth="1"/>
    <col min="8" max="8" width="19.140625" style="0" customWidth="1"/>
    <col min="10" max="10" width="8.140625" style="0" customWidth="1"/>
    <col min="11" max="11" width="3.7109375" style="0" customWidth="1"/>
    <col min="12" max="12" width="15.8515625" style="0" customWidth="1"/>
  </cols>
  <sheetData>
    <row r="1" spans="1:12" ht="12.75">
      <c r="A1" s="636" t="s">
        <v>362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8"/>
    </row>
    <row r="2" spans="1:12" ht="13.5" thickBot="1">
      <c r="A2" s="639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1"/>
    </row>
    <row r="3" spans="1:12" ht="12.75">
      <c r="A3" s="630" t="s">
        <v>409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1"/>
    </row>
    <row r="4" spans="1:12" ht="12.75">
      <c r="A4" s="642" t="s">
        <v>363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4"/>
    </row>
    <row r="5" spans="1:12" ht="13.5" thickBot="1">
      <c r="A5" s="632" t="s">
        <v>364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3"/>
    </row>
    <row r="6" spans="1:12" ht="13.5" thickBot="1">
      <c r="A6" s="645" t="s">
        <v>365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7"/>
    </row>
    <row r="7" spans="1:12" ht="13.5" thickBot="1">
      <c r="A7" s="617"/>
      <c r="B7" s="618"/>
      <c r="C7" s="329"/>
      <c r="D7" s="329"/>
      <c r="E7" s="645" t="s">
        <v>366</v>
      </c>
      <c r="F7" s="646"/>
      <c r="G7" s="647"/>
      <c r="H7" s="645" t="s">
        <v>398</v>
      </c>
      <c r="I7" s="646"/>
      <c r="J7" s="646"/>
      <c r="K7" s="646"/>
      <c r="L7" s="647"/>
    </row>
    <row r="8" spans="1:12" ht="12.75">
      <c r="A8" s="630" t="s">
        <v>367</v>
      </c>
      <c r="B8" s="631"/>
      <c r="C8" s="628" t="s">
        <v>368</v>
      </c>
      <c r="D8" s="628" t="s">
        <v>369</v>
      </c>
      <c r="E8" s="628" t="s">
        <v>410</v>
      </c>
      <c r="F8" s="628" t="s">
        <v>411</v>
      </c>
      <c r="G8" s="628" t="s">
        <v>412</v>
      </c>
      <c r="H8" s="628" t="s">
        <v>370</v>
      </c>
      <c r="I8" s="630" t="s">
        <v>387</v>
      </c>
      <c r="J8" s="634"/>
      <c r="K8" s="631"/>
      <c r="L8" s="628" t="s">
        <v>371</v>
      </c>
    </row>
    <row r="9" spans="1:12" ht="29.25" customHeight="1" thickBot="1">
      <c r="A9" s="632"/>
      <c r="B9" s="633"/>
      <c r="C9" s="629"/>
      <c r="D9" s="629"/>
      <c r="E9" s="629"/>
      <c r="F9" s="629"/>
      <c r="G9" s="629"/>
      <c r="H9" s="629"/>
      <c r="I9" s="632"/>
      <c r="J9" s="635"/>
      <c r="K9" s="633"/>
      <c r="L9" s="629"/>
    </row>
    <row r="10" spans="1:12" ht="13.5" thickBot="1">
      <c r="A10" s="617"/>
      <c r="B10" s="618"/>
      <c r="C10" s="330"/>
      <c r="D10" s="330"/>
      <c r="E10" s="329"/>
      <c r="F10" s="329"/>
      <c r="G10" s="329"/>
      <c r="H10" s="331"/>
      <c r="I10" s="625"/>
      <c r="J10" s="626"/>
      <c r="K10" s="627"/>
      <c r="L10" s="331"/>
    </row>
    <row r="11" spans="1:12" ht="13.5" thickBot="1">
      <c r="A11" s="617"/>
      <c r="B11" s="618"/>
      <c r="C11" s="329"/>
      <c r="D11" s="332"/>
      <c r="E11" s="329"/>
      <c r="F11" s="329"/>
      <c r="G11" s="329"/>
      <c r="H11" s="333"/>
      <c r="I11" s="619"/>
      <c r="J11" s="620"/>
      <c r="K11" s="621"/>
      <c r="L11" s="333"/>
    </row>
    <row r="12" spans="1:12" ht="13.5" thickBot="1">
      <c r="A12" s="617"/>
      <c r="B12" s="618"/>
      <c r="C12" s="329"/>
      <c r="D12" s="332"/>
      <c r="E12" s="329"/>
      <c r="F12" s="329"/>
      <c r="G12" s="329"/>
      <c r="H12" s="333"/>
      <c r="I12" s="619"/>
      <c r="J12" s="620"/>
      <c r="K12" s="621"/>
      <c r="L12" s="333"/>
    </row>
    <row r="13" spans="1:12" ht="13.5" thickBot="1">
      <c r="A13" s="617"/>
      <c r="B13" s="618"/>
      <c r="C13" s="329"/>
      <c r="D13" s="332"/>
      <c r="E13" s="329"/>
      <c r="F13" s="329"/>
      <c r="G13" s="329"/>
      <c r="H13" s="333"/>
      <c r="I13" s="619"/>
      <c r="J13" s="620"/>
      <c r="K13" s="621"/>
      <c r="L13" s="333"/>
    </row>
    <row r="14" spans="1:12" ht="13.5" thickBot="1">
      <c r="A14" s="617"/>
      <c r="B14" s="618"/>
      <c r="C14" s="329"/>
      <c r="D14" s="332"/>
      <c r="E14" s="329"/>
      <c r="F14" s="329"/>
      <c r="G14" s="329"/>
      <c r="H14" s="333"/>
      <c r="I14" s="619"/>
      <c r="J14" s="620"/>
      <c r="K14" s="621"/>
      <c r="L14" s="333"/>
    </row>
    <row r="15" spans="1:12" ht="13.5" thickBot="1">
      <c r="A15" s="617"/>
      <c r="B15" s="618"/>
      <c r="C15" s="329"/>
      <c r="D15" s="332"/>
      <c r="E15" s="329"/>
      <c r="F15" s="329"/>
      <c r="G15" s="329"/>
      <c r="H15" s="333"/>
      <c r="I15" s="619"/>
      <c r="J15" s="620"/>
      <c r="K15" s="621"/>
      <c r="L15" s="333"/>
    </row>
    <row r="16" spans="1:12" ht="13.5" thickBot="1">
      <c r="A16" s="617"/>
      <c r="B16" s="618"/>
      <c r="C16" s="329"/>
      <c r="D16" s="332"/>
      <c r="E16" s="329"/>
      <c r="F16" s="329"/>
      <c r="G16" s="329"/>
      <c r="H16" s="333"/>
      <c r="I16" s="619"/>
      <c r="J16" s="620"/>
      <c r="K16" s="621"/>
      <c r="L16" s="333"/>
    </row>
    <row r="17" spans="1:12" ht="13.5" thickBot="1">
      <c r="A17" s="617"/>
      <c r="B17" s="618"/>
      <c r="C17" s="329"/>
      <c r="D17" s="332"/>
      <c r="E17" s="329"/>
      <c r="F17" s="329"/>
      <c r="G17" s="329"/>
      <c r="H17" s="333"/>
      <c r="I17" s="619"/>
      <c r="J17" s="620"/>
      <c r="K17" s="621"/>
      <c r="L17" s="333"/>
    </row>
    <row r="18" spans="1:12" ht="13.5" thickBot="1">
      <c r="A18" s="617"/>
      <c r="B18" s="618"/>
      <c r="C18" s="329"/>
      <c r="D18" s="332"/>
      <c r="E18" s="329"/>
      <c r="F18" s="329"/>
      <c r="G18" s="329"/>
      <c r="H18" s="333"/>
      <c r="I18" s="619"/>
      <c r="J18" s="620"/>
      <c r="K18" s="621"/>
      <c r="L18" s="333"/>
    </row>
    <row r="19" spans="1:12" ht="13.5" thickBot="1">
      <c r="A19" s="617"/>
      <c r="B19" s="618"/>
      <c r="C19" s="329"/>
      <c r="D19" s="332"/>
      <c r="E19" s="329"/>
      <c r="F19" s="329"/>
      <c r="G19" s="329"/>
      <c r="H19" s="333"/>
      <c r="I19" s="619"/>
      <c r="J19" s="620"/>
      <c r="K19" s="621"/>
      <c r="L19" s="333"/>
    </row>
    <row r="20" spans="1:12" ht="13.5" thickBot="1">
      <c r="A20" s="617"/>
      <c r="B20" s="618"/>
      <c r="C20" s="329"/>
      <c r="D20" s="332"/>
      <c r="E20" s="329"/>
      <c r="F20" s="329"/>
      <c r="G20" s="329"/>
      <c r="H20" s="333"/>
      <c r="I20" s="619"/>
      <c r="J20" s="620"/>
      <c r="K20" s="621"/>
      <c r="L20" s="333"/>
    </row>
    <row r="21" spans="1:12" ht="13.5" thickBot="1">
      <c r="A21" s="617"/>
      <c r="B21" s="618"/>
      <c r="C21" s="329"/>
      <c r="D21" s="332"/>
      <c r="E21" s="329"/>
      <c r="F21" s="329"/>
      <c r="G21" s="329"/>
      <c r="H21" s="333"/>
      <c r="I21" s="619"/>
      <c r="J21" s="620"/>
      <c r="K21" s="621"/>
      <c r="L21" s="333"/>
    </row>
    <row r="22" spans="1:12" ht="13.5" thickBot="1">
      <c r="A22" s="617"/>
      <c r="B22" s="618"/>
      <c r="C22" s="329"/>
      <c r="D22" s="332"/>
      <c r="E22" s="329"/>
      <c r="F22" s="329"/>
      <c r="G22" s="329"/>
      <c r="H22" s="333"/>
      <c r="I22" s="619"/>
      <c r="J22" s="620"/>
      <c r="K22" s="621"/>
      <c r="L22" s="333"/>
    </row>
    <row r="23" spans="1:12" ht="13.5" thickBot="1">
      <c r="A23" s="617"/>
      <c r="B23" s="618"/>
      <c r="C23" s="329"/>
      <c r="D23" s="332"/>
      <c r="E23" s="329"/>
      <c r="F23" s="329"/>
      <c r="G23" s="329"/>
      <c r="H23" s="333"/>
      <c r="I23" s="619"/>
      <c r="J23" s="620"/>
      <c r="K23" s="621"/>
      <c r="L23" s="333"/>
    </row>
    <row r="24" spans="1:12" ht="13.5" thickBot="1">
      <c r="A24" s="617"/>
      <c r="B24" s="618"/>
      <c r="C24" s="329"/>
      <c r="D24" s="332"/>
      <c r="E24" s="329"/>
      <c r="F24" s="329"/>
      <c r="G24" s="329"/>
      <c r="H24" s="333"/>
      <c r="I24" s="619"/>
      <c r="J24" s="620"/>
      <c r="K24" s="621"/>
      <c r="L24" s="333"/>
    </row>
    <row r="25" spans="1:12" ht="13.5" thickBot="1">
      <c r="A25" s="617"/>
      <c r="B25" s="618"/>
      <c r="C25" s="329"/>
      <c r="D25" s="332"/>
      <c r="E25" s="329"/>
      <c r="F25" s="329"/>
      <c r="G25" s="329"/>
      <c r="H25" s="333"/>
      <c r="I25" s="619"/>
      <c r="J25" s="620"/>
      <c r="K25" s="621"/>
      <c r="L25" s="333"/>
    </row>
    <row r="26" spans="1:12" ht="13.5" thickBot="1">
      <c r="A26" s="617"/>
      <c r="B26" s="618"/>
      <c r="C26" s="329"/>
      <c r="D26" s="332"/>
      <c r="E26" s="329"/>
      <c r="F26" s="329"/>
      <c r="G26" s="329"/>
      <c r="H26" s="333"/>
      <c r="I26" s="619"/>
      <c r="J26" s="620"/>
      <c r="K26" s="621"/>
      <c r="L26" s="333"/>
    </row>
    <row r="27" spans="1:12" ht="13.5" thickBot="1">
      <c r="A27" s="622" t="s">
        <v>372</v>
      </c>
      <c r="B27" s="623"/>
      <c r="C27" s="623"/>
      <c r="D27" s="623"/>
      <c r="E27" s="623"/>
      <c r="F27" s="623"/>
      <c r="G27" s="624"/>
      <c r="H27" s="333">
        <f>SUM(H10:H26)</f>
        <v>0</v>
      </c>
      <c r="I27" s="619">
        <v>0</v>
      </c>
      <c r="J27" s="620"/>
      <c r="K27" s="621"/>
      <c r="L27" s="333">
        <f>SUM(L10:L26)</f>
        <v>0</v>
      </c>
    </row>
  </sheetData>
  <sheetProtection/>
  <mergeCells count="53">
    <mergeCell ref="L8:L9"/>
    <mergeCell ref="A1:L2"/>
    <mergeCell ref="A3:L3"/>
    <mergeCell ref="A4:L4"/>
    <mergeCell ref="A5:L5"/>
    <mergeCell ref="A6:L6"/>
    <mergeCell ref="A7:B7"/>
    <mergeCell ref="E7:G7"/>
    <mergeCell ref="H7:L7"/>
    <mergeCell ref="A10:B10"/>
    <mergeCell ref="I10:K10"/>
    <mergeCell ref="F8:F9"/>
    <mergeCell ref="G8:G9"/>
    <mergeCell ref="H8:H9"/>
    <mergeCell ref="A8:B9"/>
    <mergeCell ref="C8:C9"/>
    <mergeCell ref="I8:K9"/>
    <mergeCell ref="D8:D9"/>
    <mergeCell ref="E8:E9"/>
    <mergeCell ref="A11:B11"/>
    <mergeCell ref="I11:K11"/>
    <mergeCell ref="A12:B12"/>
    <mergeCell ref="I12:K12"/>
    <mergeCell ref="A13:B13"/>
    <mergeCell ref="I13:K13"/>
    <mergeCell ref="A14:B14"/>
    <mergeCell ref="I14:K14"/>
    <mergeCell ref="A15:B15"/>
    <mergeCell ref="I15:K15"/>
    <mergeCell ref="A16:B16"/>
    <mergeCell ref="I16:K16"/>
    <mergeCell ref="A17:B17"/>
    <mergeCell ref="I17:K17"/>
    <mergeCell ref="A18:B18"/>
    <mergeCell ref="I18:K18"/>
    <mergeCell ref="A19:B19"/>
    <mergeCell ref="I19:K19"/>
    <mergeCell ref="A20:B20"/>
    <mergeCell ref="I20:K20"/>
    <mergeCell ref="A21:B21"/>
    <mergeCell ref="I21:K21"/>
    <mergeCell ref="A22:B22"/>
    <mergeCell ref="I22:K22"/>
    <mergeCell ref="A23:B23"/>
    <mergeCell ref="I23:K23"/>
    <mergeCell ref="A24:B24"/>
    <mergeCell ref="I24:K24"/>
    <mergeCell ref="A27:G27"/>
    <mergeCell ref="I27:K27"/>
    <mergeCell ref="A25:B25"/>
    <mergeCell ref="I25:K25"/>
    <mergeCell ref="A26:B26"/>
    <mergeCell ref="I26:K2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G71"/>
  <sheetViews>
    <sheetView view="pageBreakPreview" zoomScale="90" zoomScaleSheetLayoutView="90" zoomScalePageLayoutView="0" workbookViewId="0" topLeftCell="A1">
      <selection activeCell="A1" sqref="A1:F2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23" customWidth="1"/>
    <col min="4" max="5" width="21.421875" style="23" customWidth="1"/>
    <col min="6" max="6" width="19.57421875" style="23" customWidth="1"/>
    <col min="7" max="7" width="19.7109375" style="0" customWidth="1"/>
    <col min="8" max="8" width="19.421875" style="0" customWidth="1"/>
  </cols>
  <sheetData>
    <row r="1" spans="1:7" s="27" customFormat="1" ht="18">
      <c r="A1" s="400" t="str">
        <f>Parâmetros!A7</f>
        <v>Município de : Boqueirão do Leão - RS</v>
      </c>
      <c r="B1" s="401"/>
      <c r="C1" s="401"/>
      <c r="D1" s="401"/>
      <c r="E1" s="401"/>
      <c r="F1" s="401"/>
      <c r="G1" s="380"/>
    </row>
    <row r="2" spans="1:7" s="42" customFormat="1" ht="18" customHeight="1">
      <c r="A2" s="402" t="s">
        <v>416</v>
      </c>
      <c r="B2" s="403"/>
      <c r="C2" s="403"/>
      <c r="D2" s="403"/>
      <c r="E2" s="403"/>
      <c r="F2" s="403"/>
      <c r="G2" s="378"/>
    </row>
    <row r="3" spans="1:7" s="22" customFormat="1" ht="12.75">
      <c r="A3" s="404" t="s">
        <v>420</v>
      </c>
      <c r="B3" s="405"/>
      <c r="C3" s="405"/>
      <c r="D3" s="405"/>
      <c r="E3" s="405"/>
      <c r="F3" s="405"/>
      <c r="G3" s="378"/>
    </row>
    <row r="4" spans="1:7" s="22" customFormat="1" ht="12.75">
      <c r="A4" s="389"/>
      <c r="B4" s="389"/>
      <c r="C4" s="389"/>
      <c r="D4" s="389"/>
      <c r="E4" s="389"/>
      <c r="F4" s="389"/>
      <c r="G4" s="389"/>
    </row>
    <row r="5" spans="1:7" s="22" customFormat="1" ht="18">
      <c r="A5" s="385" t="s">
        <v>94</v>
      </c>
      <c r="B5" s="381" t="s">
        <v>95</v>
      </c>
      <c r="C5" s="382">
        <v>2014</v>
      </c>
      <c r="D5" s="382">
        <f>C5+1</f>
        <v>2015</v>
      </c>
      <c r="E5" s="382">
        <f>D5+1</f>
        <v>2016</v>
      </c>
      <c r="F5" s="386">
        <f>E5+1</f>
        <v>2017</v>
      </c>
      <c r="G5" s="27"/>
    </row>
    <row r="6" spans="1:7" s="22" customFormat="1" ht="15.75">
      <c r="A6" s="387"/>
      <c r="B6" s="383"/>
      <c r="C6" s="384" t="s">
        <v>192</v>
      </c>
      <c r="D6" s="384" t="s">
        <v>192</v>
      </c>
      <c r="E6" s="384" t="s">
        <v>192</v>
      </c>
      <c r="F6" s="388" t="s">
        <v>193</v>
      </c>
      <c r="G6" s="42"/>
    </row>
    <row r="7" spans="1:6" s="22" customFormat="1" ht="12.75">
      <c r="A7" s="47" t="s">
        <v>50</v>
      </c>
      <c r="B7" s="48" t="s">
        <v>2</v>
      </c>
      <c r="C7" s="60">
        <f>C8+C9+C12+C17+C18+C19+C20+C21</f>
        <v>19631069.684</v>
      </c>
      <c r="D7" s="60">
        <f>D8+D9+D12+D17+D18+D19+D20+D21</f>
        <v>20517989.429999996</v>
      </c>
      <c r="E7" s="60">
        <f>E8+E9+E12+F17+E18+E19+E20+E21</f>
        <v>24316041.34</v>
      </c>
      <c r="F7" s="60">
        <f>F8+F9+F12+G17+F18+F19+F20+F21</f>
        <v>25349473.09695</v>
      </c>
    </row>
    <row r="8" spans="1:6" s="22" customFormat="1" ht="12.75">
      <c r="A8" s="51" t="s">
        <v>51</v>
      </c>
      <c r="B8" s="52" t="s">
        <v>52</v>
      </c>
      <c r="C8" s="137">
        <v>929222.02</v>
      </c>
      <c r="D8" s="137">
        <v>917650.19</v>
      </c>
      <c r="E8" s="137">
        <v>1024627.32</v>
      </c>
      <c r="F8" s="137">
        <f>E8*Parâmetros!E$11+E8</f>
        <v>1068173.9811</v>
      </c>
    </row>
    <row r="9" spans="1:6" s="22" customFormat="1" ht="12.75">
      <c r="A9" s="51" t="s">
        <v>53</v>
      </c>
      <c r="B9" s="52" t="s">
        <v>54</v>
      </c>
      <c r="C9" s="106">
        <f>C10+C11</f>
        <v>988517.5499999999</v>
      </c>
      <c r="D9" s="106">
        <f>D10+D11</f>
        <v>1158562.58</v>
      </c>
      <c r="E9" s="106">
        <f>E10+E11</f>
        <v>1069730.8199999998</v>
      </c>
      <c r="F9" s="106">
        <f>F10+F11</f>
        <v>1115194.37985</v>
      </c>
    </row>
    <row r="10" spans="1:7" ht="12.75">
      <c r="A10" s="51" t="s">
        <v>53</v>
      </c>
      <c r="B10" s="52" t="s">
        <v>224</v>
      </c>
      <c r="C10" s="137">
        <v>5273.59</v>
      </c>
      <c r="D10" s="137">
        <v>39851.24</v>
      </c>
      <c r="E10" s="137">
        <v>81575.13</v>
      </c>
      <c r="F10" s="137">
        <f>E10*Parâmetros!E$11+E10</f>
        <v>85042.073025</v>
      </c>
      <c r="G10" s="22"/>
    </row>
    <row r="11" spans="1:7" ht="12.75">
      <c r="A11" s="51" t="s">
        <v>225</v>
      </c>
      <c r="B11" s="334" t="s">
        <v>373</v>
      </c>
      <c r="C11" s="137">
        <v>983243.96</v>
      </c>
      <c r="D11" s="137">
        <v>1118711.34</v>
      </c>
      <c r="E11" s="137">
        <v>988155.69</v>
      </c>
      <c r="F11" s="137">
        <f>E11*Parâmetros!E$11+E11</f>
        <v>1030152.306825</v>
      </c>
      <c r="G11" s="22"/>
    </row>
    <row r="12" spans="1:7" ht="12.75">
      <c r="A12" s="51" t="s">
        <v>55</v>
      </c>
      <c r="B12" s="52" t="s">
        <v>3</v>
      </c>
      <c r="C12" s="60">
        <f>C13+C16</f>
        <v>1960576.23</v>
      </c>
      <c r="D12" s="60">
        <f>D13+D16</f>
        <v>2354646.33</v>
      </c>
      <c r="E12" s="60">
        <f>E13+F16</f>
        <v>3013072.4299999997</v>
      </c>
      <c r="F12" s="60">
        <f>F13+G16</f>
        <v>3141128.008275</v>
      </c>
      <c r="G12" s="22"/>
    </row>
    <row r="13" spans="1:6" ht="12.75">
      <c r="A13" s="51" t="s">
        <v>56</v>
      </c>
      <c r="B13" s="52" t="s">
        <v>188</v>
      </c>
      <c r="C13" s="106">
        <f>C14+C15</f>
        <v>1960576.23</v>
      </c>
      <c r="D13" s="106">
        <f>D14+D15</f>
        <v>2354646.33</v>
      </c>
      <c r="E13" s="106">
        <f>E14+E15</f>
        <v>3013072.4299999997</v>
      </c>
      <c r="F13" s="106">
        <f>F14+F15</f>
        <v>3141128.008275</v>
      </c>
    </row>
    <row r="14" spans="1:6" ht="12.75">
      <c r="A14" s="51" t="s">
        <v>56</v>
      </c>
      <c r="B14" s="52" t="s">
        <v>226</v>
      </c>
      <c r="C14" s="137">
        <v>124971.74</v>
      </c>
      <c r="D14" s="137">
        <v>162385.93</v>
      </c>
      <c r="E14" s="137">
        <v>180374.05</v>
      </c>
      <c r="F14" s="137">
        <f>E14*Parâmetros!E$11+E14</f>
        <v>188039.94712499998</v>
      </c>
    </row>
    <row r="15" spans="1:6" ht="12.75">
      <c r="A15" s="51" t="s">
        <v>56</v>
      </c>
      <c r="B15" s="334" t="s">
        <v>374</v>
      </c>
      <c r="C15" s="137">
        <v>1835604.49</v>
      </c>
      <c r="D15" s="137">
        <v>2192260.4</v>
      </c>
      <c r="E15" s="137">
        <v>2832698.38</v>
      </c>
      <c r="F15" s="137">
        <f>E15*Parâmetros!E$11+E15</f>
        <v>2953088.06115</v>
      </c>
    </row>
    <row r="16" spans="1:7" ht="12.75">
      <c r="A16" s="51" t="s">
        <v>57</v>
      </c>
      <c r="B16" s="52" t="s">
        <v>58</v>
      </c>
      <c r="C16" s="137"/>
      <c r="D16" s="137"/>
      <c r="F16" s="137"/>
      <c r="G16" s="137"/>
    </row>
    <row r="17" spans="1:7" s="22" customFormat="1" ht="12.75">
      <c r="A17" s="51" t="s">
        <v>59</v>
      </c>
      <c r="B17" s="52" t="s">
        <v>60</v>
      </c>
      <c r="C17" s="137"/>
      <c r="D17" s="137"/>
      <c r="E17" s="23"/>
      <c r="F17" s="137"/>
      <c r="G17" s="137"/>
    </row>
    <row r="18" spans="1:7" s="22" customFormat="1" ht="12.75">
      <c r="A18" s="51" t="s">
        <v>61</v>
      </c>
      <c r="B18" s="52" t="s">
        <v>4</v>
      </c>
      <c r="C18" s="137"/>
      <c r="D18" s="137"/>
      <c r="E18" s="137"/>
      <c r="F18" s="137"/>
      <c r="G18"/>
    </row>
    <row r="19" spans="1:7" s="22" customFormat="1" ht="12.75">
      <c r="A19" s="51" t="s">
        <v>62</v>
      </c>
      <c r="B19" s="52" t="s">
        <v>63</v>
      </c>
      <c r="C19" s="137">
        <v>35417.014</v>
      </c>
      <c r="D19" s="137">
        <v>20396.88</v>
      </c>
      <c r="E19" s="137">
        <v>21210.4</v>
      </c>
      <c r="F19" s="137">
        <f>E19*Parâmetros!E$11+E19</f>
        <v>22111.842</v>
      </c>
      <c r="G19"/>
    </row>
    <row r="20" spans="1:6" s="22" customFormat="1" ht="12.75">
      <c r="A20" s="51" t="s">
        <v>64</v>
      </c>
      <c r="B20" s="52" t="s">
        <v>65</v>
      </c>
      <c r="C20" s="137">
        <v>15562499.2</v>
      </c>
      <c r="D20" s="137">
        <v>15910259.12</v>
      </c>
      <c r="E20" s="137">
        <v>19081521.2</v>
      </c>
      <c r="F20" s="137">
        <f>E20*Parâmetros!E$11+E20</f>
        <v>19892485.851</v>
      </c>
    </row>
    <row r="21" spans="1:6" s="22" customFormat="1" ht="12.75">
      <c r="A21" s="51" t="s">
        <v>66</v>
      </c>
      <c r="B21" s="52" t="s">
        <v>5</v>
      </c>
      <c r="C21" s="106">
        <f>C22+C23</f>
        <v>154837.66999999998</v>
      </c>
      <c r="D21" s="106">
        <f>D22+D23</f>
        <v>156474.33</v>
      </c>
      <c r="E21" s="106">
        <f>E22+E23</f>
        <v>105879.17</v>
      </c>
      <c r="F21" s="106">
        <f>F22+F23</f>
        <v>110379.034725</v>
      </c>
    </row>
    <row r="22" spans="1:6" s="22" customFormat="1" ht="12.75">
      <c r="A22" s="51" t="s">
        <v>66</v>
      </c>
      <c r="B22" s="52" t="s">
        <v>227</v>
      </c>
      <c r="C22" s="137">
        <v>153345.61</v>
      </c>
      <c r="D22" s="137">
        <v>152482.27</v>
      </c>
      <c r="E22" s="137">
        <f>105879.17-762.65</f>
        <v>105116.52</v>
      </c>
      <c r="F22" s="137">
        <f>E22*Parâmetros!E$11+E22</f>
        <v>109583.9721</v>
      </c>
    </row>
    <row r="23" spans="1:6" s="22" customFormat="1" ht="12.75">
      <c r="A23" s="51" t="s">
        <v>66</v>
      </c>
      <c r="B23" s="334" t="s">
        <v>375</v>
      </c>
      <c r="C23" s="137">
        <v>1492.06</v>
      </c>
      <c r="D23" s="137">
        <v>3992.06</v>
      </c>
      <c r="E23" s="137">
        <v>762.65</v>
      </c>
      <c r="F23" s="137">
        <f>E23*Parâmetros!E$11+E23</f>
        <v>795.062625</v>
      </c>
    </row>
    <row r="24" spans="1:7" ht="12.75">
      <c r="A24" s="49" t="s">
        <v>67</v>
      </c>
      <c r="B24" s="50" t="s">
        <v>68</v>
      </c>
      <c r="C24" s="60">
        <f>C25+C26+C27+C28+C29</f>
        <v>1445041.67</v>
      </c>
      <c r="D24" s="60">
        <f>D25+D26+D27+D28+D29</f>
        <v>1311825.04</v>
      </c>
      <c r="E24" s="60">
        <f>E25+E26+E27+E28+E29</f>
        <v>768414.12</v>
      </c>
      <c r="F24" s="60">
        <f>F25+F26+F27+F28+F29</f>
        <v>801071.7201</v>
      </c>
      <c r="G24" s="22"/>
    </row>
    <row r="25" spans="1:6" s="22" customFormat="1" ht="12.75">
      <c r="A25" s="51" t="s">
        <v>69</v>
      </c>
      <c r="B25" s="52" t="s">
        <v>70</v>
      </c>
      <c r="C25" s="137"/>
      <c r="D25" s="137"/>
      <c r="E25" s="137"/>
      <c r="F25" s="137"/>
    </row>
    <row r="26" spans="1:7" ht="12.75">
      <c r="A26" s="51" t="s">
        <v>71</v>
      </c>
      <c r="B26" s="52" t="s">
        <v>72</v>
      </c>
      <c r="C26" s="137">
        <v>0</v>
      </c>
      <c r="D26" s="137">
        <v>110150</v>
      </c>
      <c r="E26" s="137">
        <v>64600</v>
      </c>
      <c r="F26" s="137">
        <f>E26*Parâmetros!E$11+E26</f>
        <v>67345.5</v>
      </c>
      <c r="G26" s="22"/>
    </row>
    <row r="27" spans="1:6" ht="12.75">
      <c r="A27" s="51" t="s">
        <v>73</v>
      </c>
      <c r="B27" s="52" t="s">
        <v>74</v>
      </c>
      <c r="C27" s="137">
        <v>136804.73</v>
      </c>
      <c r="D27" s="137">
        <v>169629.04</v>
      </c>
      <c r="E27" s="137">
        <v>181022.55</v>
      </c>
      <c r="F27" s="137">
        <f>E27*Parâmetros!E$11+E27</f>
        <v>188716.00837499998</v>
      </c>
    </row>
    <row r="28" spans="1:7" ht="12.75">
      <c r="A28" s="51" t="s">
        <v>75</v>
      </c>
      <c r="B28" s="52" t="s">
        <v>76</v>
      </c>
      <c r="C28" s="137">
        <v>1308236.94</v>
      </c>
      <c r="D28" s="137">
        <v>1032046</v>
      </c>
      <c r="E28" s="137">
        <v>522791.57</v>
      </c>
      <c r="F28" s="137">
        <f>E28*Parâmetros!E$11+E28</f>
        <v>545010.2117250001</v>
      </c>
      <c r="G28" s="22"/>
    </row>
    <row r="29" spans="1:6" ht="12.75">
      <c r="A29" s="51" t="s">
        <v>77</v>
      </c>
      <c r="B29" s="52" t="s">
        <v>6</v>
      </c>
      <c r="C29" s="137"/>
      <c r="D29" s="137"/>
      <c r="E29" s="137"/>
      <c r="F29" s="137">
        <f>E29*Parâmetros!E$11+E29</f>
        <v>0</v>
      </c>
    </row>
    <row r="30" spans="1:7" s="22" customFormat="1" ht="12.75">
      <c r="A30" s="51" t="s">
        <v>228</v>
      </c>
      <c r="B30" s="334" t="s">
        <v>376</v>
      </c>
      <c r="C30" s="137">
        <v>196832.41</v>
      </c>
      <c r="D30" s="137">
        <v>272994.3</v>
      </c>
      <c r="E30" s="137">
        <v>223698.94</v>
      </c>
      <c r="F30" s="137">
        <f>E30*Parâmetros!E$11+E30</f>
        <v>233206.14495000002</v>
      </c>
      <c r="G30"/>
    </row>
    <row r="31" spans="1:6" ht="12.75">
      <c r="A31" s="51" t="s">
        <v>295</v>
      </c>
      <c r="B31" s="50" t="s">
        <v>199</v>
      </c>
      <c r="C31" s="137">
        <v>-2187977.46</v>
      </c>
      <c r="D31" s="137">
        <v>-2229952.94</v>
      </c>
      <c r="E31" s="137">
        <v>-2612644.69</v>
      </c>
      <c r="F31" s="137">
        <f>E31*Parâmetros!E$11+E31</f>
        <v>-2723682.089325</v>
      </c>
    </row>
    <row r="32" spans="1:7" s="27" customFormat="1" ht="33.75" customHeight="1">
      <c r="A32" s="51"/>
      <c r="B32" s="52"/>
      <c r="C32" s="137"/>
      <c r="D32" s="137"/>
      <c r="E32" s="137"/>
      <c r="F32" s="137"/>
      <c r="G32"/>
    </row>
    <row r="33" spans="1:7" s="42" customFormat="1" ht="20.25" customHeight="1">
      <c r="A33" s="54"/>
      <c r="B33" s="53" t="s">
        <v>78</v>
      </c>
      <c r="C33" s="60">
        <f>C7+C24+C30+C31</f>
        <v>19084966.304</v>
      </c>
      <c r="D33" s="60">
        <f>D7+D24+D30+D31</f>
        <v>19872855.829999994</v>
      </c>
      <c r="E33" s="60">
        <f>E7+E24+E30+E31</f>
        <v>22695509.71</v>
      </c>
      <c r="F33" s="60">
        <f>F7+F24+F30+F31</f>
        <v>23660068.872674998</v>
      </c>
      <c r="G33" s="22"/>
    </row>
    <row r="34" spans="1:7" s="22" customFormat="1" ht="12.75">
      <c r="A34"/>
      <c r="B34"/>
      <c r="C34" s="23"/>
      <c r="D34" s="23"/>
      <c r="E34" s="23"/>
      <c r="F34" s="23"/>
      <c r="G34"/>
    </row>
    <row r="35" spans="1:7" s="22" customFormat="1" ht="18">
      <c r="A35" s="27" t="s">
        <v>94</v>
      </c>
      <c r="B35" s="27" t="s">
        <v>95</v>
      </c>
      <c r="C35" s="28">
        <v>2014</v>
      </c>
      <c r="D35" s="28">
        <f>C35+1</f>
        <v>2015</v>
      </c>
      <c r="E35" s="28">
        <f>D35+1</f>
        <v>2016</v>
      </c>
      <c r="F35" s="28">
        <f>E35+1</f>
        <v>2017</v>
      </c>
      <c r="G35" s="27"/>
    </row>
    <row r="36" spans="1:7" s="22" customFormat="1" ht="15.75">
      <c r="A36" s="42"/>
      <c r="B36" s="42"/>
      <c r="C36" s="43" t="s">
        <v>194</v>
      </c>
      <c r="D36" s="43" t="s">
        <v>194</v>
      </c>
      <c r="E36" s="43" t="s">
        <v>194</v>
      </c>
      <c r="F36" s="43" t="s">
        <v>193</v>
      </c>
      <c r="G36" s="42"/>
    </row>
    <row r="37" spans="1:6" s="22" customFormat="1" ht="12.75">
      <c r="A37" s="44" t="s">
        <v>79</v>
      </c>
      <c r="B37" s="57" t="s">
        <v>7</v>
      </c>
      <c r="C37" s="60">
        <f>C38+C41+C44</f>
        <v>14055685.169999998</v>
      </c>
      <c r="D37" s="60">
        <f>D38+D41+D44</f>
        <v>14618377.09</v>
      </c>
      <c r="E37" s="60">
        <f>E38+E41+E44</f>
        <v>17089696.65</v>
      </c>
      <c r="F37" s="60">
        <f>F38+F41+F44</f>
        <v>17816008.757625</v>
      </c>
    </row>
    <row r="38" spans="1:7" ht="12.75">
      <c r="A38" s="45" t="s">
        <v>80</v>
      </c>
      <c r="B38" s="55" t="s">
        <v>81</v>
      </c>
      <c r="C38" s="106">
        <f>C39+C40</f>
        <v>7811035.02</v>
      </c>
      <c r="D38" s="106">
        <f>D39+D40</f>
        <v>8200331.75</v>
      </c>
      <c r="E38" s="106">
        <f>E39+E40</f>
        <v>9111402.72</v>
      </c>
      <c r="F38" s="106">
        <f>F39+F40</f>
        <v>9498637.3356</v>
      </c>
      <c r="G38" s="22"/>
    </row>
    <row r="39" spans="1:7" ht="12.75">
      <c r="A39" s="45" t="s">
        <v>80</v>
      </c>
      <c r="B39" s="55" t="s">
        <v>229</v>
      </c>
      <c r="C39" s="137">
        <v>6928288.6</v>
      </c>
      <c r="D39" s="137">
        <v>7122579.49</v>
      </c>
      <c r="E39" s="137">
        <v>7610196.08</v>
      </c>
      <c r="F39" s="137">
        <f>E39*Parâmetros!E$11+E39</f>
        <v>7933629.4134</v>
      </c>
      <c r="G39" s="22"/>
    </row>
    <row r="40" spans="1:7" ht="12.75">
      <c r="A40" s="45" t="s">
        <v>80</v>
      </c>
      <c r="B40" s="335" t="s">
        <v>377</v>
      </c>
      <c r="C40" s="137">
        <v>882746.42</v>
      </c>
      <c r="D40" s="137">
        <v>1077752.26</v>
      </c>
      <c r="E40" s="137">
        <v>1501206.64</v>
      </c>
      <c r="F40" s="137">
        <f>E40*Parâmetros!E$11+E40</f>
        <v>1565007.9222</v>
      </c>
      <c r="G40" s="22"/>
    </row>
    <row r="41" spans="1:7" s="22" customFormat="1" ht="12.75">
      <c r="A41" s="46" t="s">
        <v>82</v>
      </c>
      <c r="B41" s="55" t="s">
        <v>198</v>
      </c>
      <c r="C41" s="106">
        <f>C42+C43</f>
        <v>20621.21</v>
      </c>
      <c r="D41" s="106">
        <f>D42+D43</f>
        <v>5219.84</v>
      </c>
      <c r="E41" s="106">
        <f>E42+E43</f>
        <v>10000</v>
      </c>
      <c r="F41" s="106">
        <f>F42+F43</f>
        <v>10425</v>
      </c>
      <c r="G41"/>
    </row>
    <row r="42" spans="1:7" s="22" customFormat="1" ht="12.75">
      <c r="A42" s="46" t="s">
        <v>82</v>
      </c>
      <c r="B42" s="55" t="s">
        <v>83</v>
      </c>
      <c r="C42" s="137">
        <v>20621.21</v>
      </c>
      <c r="D42" s="137">
        <v>5219.84</v>
      </c>
      <c r="E42" s="137">
        <v>10000</v>
      </c>
      <c r="F42" s="137">
        <f>E42*Parâmetros!E$11+E42</f>
        <v>10425</v>
      </c>
      <c r="G42"/>
    </row>
    <row r="43" spans="1:7" s="22" customFormat="1" ht="12.75">
      <c r="A43" s="46" t="s">
        <v>82</v>
      </c>
      <c r="B43" s="335" t="s">
        <v>378</v>
      </c>
      <c r="C43" s="137"/>
      <c r="D43" s="137"/>
      <c r="E43" s="137"/>
      <c r="F43" s="137"/>
      <c r="G43"/>
    </row>
    <row r="44" spans="1:6" s="22" customFormat="1" ht="12.75">
      <c r="A44" s="45" t="s">
        <v>84</v>
      </c>
      <c r="B44" s="55" t="s">
        <v>85</v>
      </c>
      <c r="C44" s="106">
        <f>C45+C46</f>
        <v>6224028.9399999995</v>
      </c>
      <c r="D44" s="106">
        <f>D45+D46</f>
        <v>6412825.5</v>
      </c>
      <c r="E44" s="106">
        <f>E45+E46</f>
        <v>7968293.93</v>
      </c>
      <c r="F44" s="106">
        <f>F45+F46</f>
        <v>8306946.422025</v>
      </c>
    </row>
    <row r="45" spans="1:6" s="22" customFormat="1" ht="12.75">
      <c r="A45" s="45" t="s">
        <v>84</v>
      </c>
      <c r="B45" s="55" t="s">
        <v>230</v>
      </c>
      <c r="C45" s="137">
        <v>6121368.88</v>
      </c>
      <c r="D45" s="137">
        <v>6331114.1</v>
      </c>
      <c r="E45" s="137">
        <v>7957817.96</v>
      </c>
      <c r="F45" s="137">
        <f>E45*Parâmetros!E$11+E45</f>
        <v>8296025.2233</v>
      </c>
    </row>
    <row r="46" spans="1:6" s="22" customFormat="1" ht="12.75">
      <c r="A46" s="45" t="s">
        <v>84</v>
      </c>
      <c r="B46" s="335" t="s">
        <v>379</v>
      </c>
      <c r="C46" s="137">
        <v>102660.06</v>
      </c>
      <c r="D46" s="137">
        <v>81711.4</v>
      </c>
      <c r="E46" s="137">
        <v>10475.97</v>
      </c>
      <c r="F46" s="137">
        <f>E46*Parâmetros!E$11+E46</f>
        <v>10921.198725</v>
      </c>
    </row>
    <row r="47" spans="1:6" s="22" customFormat="1" ht="12.75">
      <c r="A47" s="45" t="s">
        <v>86</v>
      </c>
      <c r="B47" s="58" t="s">
        <v>8</v>
      </c>
      <c r="C47" s="60">
        <f>C48+C51+C54</f>
        <v>2452716.66</v>
      </c>
      <c r="D47" s="60">
        <f>D48+D51+D54</f>
        <v>1638451.2</v>
      </c>
      <c r="E47" s="60">
        <f>E48+E51+E54</f>
        <v>1718969.33</v>
      </c>
      <c r="F47" s="60">
        <f>F48+F51+F54</f>
        <v>1792025.526525</v>
      </c>
    </row>
    <row r="48" spans="1:6" s="22" customFormat="1" ht="12.75">
      <c r="A48" s="45" t="s">
        <v>87</v>
      </c>
      <c r="B48" s="55" t="s">
        <v>9</v>
      </c>
      <c r="C48" s="106">
        <f>C49+C50</f>
        <v>2134602.25</v>
      </c>
      <c r="D48" s="106">
        <f>D49+D50</f>
        <v>1350619.53</v>
      </c>
      <c r="E48" s="106">
        <f>E49+E50</f>
        <v>1547946.78</v>
      </c>
      <c r="F48" s="106">
        <f>F49+F50</f>
        <v>1613734.5181500001</v>
      </c>
    </row>
    <row r="49" spans="1:7" ht="12.75">
      <c r="A49" s="45" t="s">
        <v>87</v>
      </c>
      <c r="B49" s="55" t="s">
        <v>231</v>
      </c>
      <c r="C49" s="137">
        <v>2134602.25</v>
      </c>
      <c r="D49" s="137">
        <v>1350619.53</v>
      </c>
      <c r="E49" s="137">
        <v>1547946.78</v>
      </c>
      <c r="F49" s="137">
        <f>E49*Parâmetros!E$11+E49</f>
        <v>1613734.5181500001</v>
      </c>
      <c r="G49" s="22"/>
    </row>
    <row r="50" spans="1:7" ht="12.75">
      <c r="A50" s="45" t="s">
        <v>87</v>
      </c>
      <c r="B50" s="335" t="s">
        <v>380</v>
      </c>
      <c r="C50" s="137"/>
      <c r="D50" s="137"/>
      <c r="E50" s="137"/>
      <c r="F50" s="137"/>
      <c r="G50" s="22"/>
    </row>
    <row r="51" spans="1:6" s="22" customFormat="1" ht="12.75">
      <c r="A51" s="45" t="s">
        <v>88</v>
      </c>
      <c r="B51" s="55" t="s">
        <v>10</v>
      </c>
      <c r="C51" s="60">
        <v>0</v>
      </c>
      <c r="D51" s="60">
        <f>D52+D53</f>
        <v>0</v>
      </c>
      <c r="E51" s="60">
        <f>E52+E53</f>
        <v>0</v>
      </c>
      <c r="F51" s="60">
        <f>F52+F53</f>
        <v>0</v>
      </c>
    </row>
    <row r="52" spans="1:7" s="22" customFormat="1" ht="12.75">
      <c r="A52" s="46" t="s">
        <v>89</v>
      </c>
      <c r="B52" s="55" t="s">
        <v>90</v>
      </c>
      <c r="C52" s="137"/>
      <c r="D52" s="137"/>
      <c r="E52" s="137"/>
      <c r="F52" s="137"/>
      <c r="G52"/>
    </row>
    <row r="53" spans="1:7" s="22" customFormat="1" ht="12.75">
      <c r="A53" s="46" t="s">
        <v>190</v>
      </c>
      <c r="B53" s="55" t="s">
        <v>191</v>
      </c>
      <c r="C53" s="137">
        <v>0</v>
      </c>
      <c r="D53" s="137">
        <v>0</v>
      </c>
      <c r="E53" s="137">
        <v>0</v>
      </c>
      <c r="F53" s="137"/>
      <c r="G53"/>
    </row>
    <row r="54" spans="1:6" s="22" customFormat="1" ht="12.75">
      <c r="A54" s="45" t="s">
        <v>91</v>
      </c>
      <c r="B54" s="55" t="s">
        <v>92</v>
      </c>
      <c r="C54" s="137">
        <v>318114.41</v>
      </c>
      <c r="D54" s="137">
        <v>287831.67</v>
      </c>
      <c r="E54" s="137">
        <v>171022.55</v>
      </c>
      <c r="F54" s="137">
        <f>E54*Parâmetros!E$11+E54</f>
        <v>178291.00837499998</v>
      </c>
    </row>
    <row r="55" spans="1:7" ht="12.75">
      <c r="A55" s="45"/>
      <c r="B55" s="55"/>
      <c r="C55" s="141"/>
      <c r="D55" s="141"/>
      <c r="E55" s="141"/>
      <c r="F55" s="141"/>
      <c r="G55" s="22"/>
    </row>
    <row r="56" spans="1:6" s="22" customFormat="1" ht="12.75">
      <c r="A56" s="45" t="s">
        <v>349</v>
      </c>
      <c r="B56" s="55" t="s">
        <v>200</v>
      </c>
      <c r="C56" s="87"/>
      <c r="D56" s="87"/>
      <c r="E56" s="87"/>
      <c r="F56" s="60">
        <f>F33-F37-F47-F57</f>
        <v>1410722.1338999998</v>
      </c>
    </row>
    <row r="57" spans="1:7" ht="12.75">
      <c r="A57" s="45" t="s">
        <v>350</v>
      </c>
      <c r="B57" s="335" t="s">
        <v>232</v>
      </c>
      <c r="C57" s="107"/>
      <c r="D57" s="107"/>
      <c r="E57" s="107"/>
      <c r="F57" s="108">
        <f>(F11+F15+F23+F30)-(F40+F43+F46+F50)</f>
        <v>2641312.4546249993</v>
      </c>
      <c r="G57" s="22"/>
    </row>
    <row r="58" spans="1:6" ht="12.75">
      <c r="A58" s="46"/>
      <c r="B58" s="55"/>
      <c r="C58" s="141"/>
      <c r="D58" s="141"/>
      <c r="E58" s="141"/>
      <c r="F58" s="141"/>
    </row>
    <row r="59" spans="1:6" s="22" customFormat="1" ht="12.75">
      <c r="A59" s="49"/>
      <c r="B59" s="58" t="s">
        <v>93</v>
      </c>
      <c r="C59" s="60">
        <f>C37+C47</f>
        <v>16508401.829999998</v>
      </c>
      <c r="D59" s="60">
        <f>D37+D47</f>
        <v>16256828.29</v>
      </c>
      <c r="E59" s="60">
        <f>E37+E47</f>
        <v>18808665.979999997</v>
      </c>
      <c r="F59" s="60">
        <f>F37+F47+F56+F57</f>
        <v>23660068.872674998</v>
      </c>
    </row>
    <row r="60" spans="1:6" ht="13.5" thickBot="1">
      <c r="A60" s="46"/>
      <c r="B60" s="55"/>
      <c r="C60" s="61"/>
      <c r="D60" s="61"/>
      <c r="E60" s="61"/>
      <c r="F60" s="61"/>
    </row>
    <row r="61" spans="1:6" ht="13.5" thickTop="1">
      <c r="A61" s="46"/>
      <c r="B61" s="88" t="s">
        <v>208</v>
      </c>
      <c r="C61" s="26">
        <v>2014</v>
      </c>
      <c r="D61" s="26">
        <f>C61+1</f>
        <v>2015</v>
      </c>
      <c r="E61" s="26">
        <f>D61+1</f>
        <v>2016</v>
      </c>
      <c r="F61" s="26">
        <f>E61+1</f>
        <v>2017</v>
      </c>
    </row>
    <row r="62" spans="1:7" ht="12.75">
      <c r="A62" s="49"/>
      <c r="B62" s="55" t="s">
        <v>286</v>
      </c>
      <c r="C62" s="138">
        <v>20191400</v>
      </c>
      <c r="D62" s="138">
        <v>19086000</v>
      </c>
      <c r="E62" s="138">
        <v>19100000</v>
      </c>
      <c r="F62" s="138">
        <v>23628295.16</v>
      </c>
      <c r="G62" s="22"/>
    </row>
    <row r="63" spans="1:6" ht="12.75">
      <c r="A63" s="46"/>
      <c r="B63" s="55" t="s">
        <v>165</v>
      </c>
      <c r="C63" s="139">
        <v>1960576.23</v>
      </c>
      <c r="D63" s="139">
        <f>D12</f>
        <v>2354646.33</v>
      </c>
      <c r="E63" s="139">
        <f>E12</f>
        <v>3013072.4299999997</v>
      </c>
      <c r="F63" s="139">
        <f>F12</f>
        <v>3141128.008275</v>
      </c>
    </row>
    <row r="64" spans="1:7" s="22" customFormat="1" ht="12.75">
      <c r="A64" s="46"/>
      <c r="B64" s="55" t="s">
        <v>166</v>
      </c>
      <c r="C64" s="139"/>
      <c r="D64" s="139"/>
      <c r="E64" s="139"/>
      <c r="F64" s="139"/>
      <c r="G64"/>
    </row>
    <row r="65" spans="1:6" ht="12.75">
      <c r="A65" s="46"/>
      <c r="B65" s="55" t="s">
        <v>167</v>
      </c>
      <c r="C65" s="139">
        <f aca="true" t="shared" si="0" ref="C65:F66">C26</f>
        <v>0</v>
      </c>
      <c r="D65" s="139">
        <f t="shared" si="0"/>
        <v>110150</v>
      </c>
      <c r="E65" s="139">
        <f t="shared" si="0"/>
        <v>64600</v>
      </c>
      <c r="F65" s="139">
        <f t="shared" si="0"/>
        <v>67345.5</v>
      </c>
    </row>
    <row r="66" spans="1:6" ht="12.75">
      <c r="A66" s="46"/>
      <c r="B66" s="55" t="s">
        <v>172</v>
      </c>
      <c r="C66" s="139">
        <f t="shared" si="0"/>
        <v>136804.73</v>
      </c>
      <c r="D66" s="139">
        <f t="shared" si="0"/>
        <v>169629.04</v>
      </c>
      <c r="E66" s="139">
        <f t="shared" si="0"/>
        <v>181022.55</v>
      </c>
      <c r="F66" s="139">
        <f t="shared" si="0"/>
        <v>188716.00837499998</v>
      </c>
    </row>
    <row r="67" spans="1:7" ht="12.75">
      <c r="A67" s="49"/>
      <c r="B67" s="55" t="s">
        <v>168</v>
      </c>
      <c r="C67" s="138">
        <f>C62</f>
        <v>20191400</v>
      </c>
      <c r="D67" s="138">
        <f>D62</f>
        <v>19086000</v>
      </c>
      <c r="E67" s="138">
        <f>E62</f>
        <v>19100000</v>
      </c>
      <c r="F67" s="138">
        <f>F62</f>
        <v>23628295.16</v>
      </c>
      <c r="G67" s="22"/>
    </row>
    <row r="68" spans="1:6" ht="12.75">
      <c r="A68" s="46"/>
      <c r="B68" s="55" t="s">
        <v>83</v>
      </c>
      <c r="C68" s="139">
        <f>C42</f>
        <v>20621.21</v>
      </c>
      <c r="D68" s="139">
        <f>D42</f>
        <v>5219.84</v>
      </c>
      <c r="E68" s="139">
        <f>E42</f>
        <v>10000</v>
      </c>
      <c r="F68" s="139">
        <f>F42</f>
        <v>10425</v>
      </c>
    </row>
    <row r="69" spans="1:6" ht="12.75">
      <c r="A69" s="46"/>
      <c r="B69" s="55" t="s">
        <v>169</v>
      </c>
      <c r="C69" s="139">
        <f>C54</f>
        <v>318114.41</v>
      </c>
      <c r="D69" s="139">
        <f>D54</f>
        <v>287831.67</v>
      </c>
      <c r="E69" s="139">
        <f>E54</f>
        <v>171022.55</v>
      </c>
      <c r="F69" s="139">
        <f>F54</f>
        <v>178291.00837499998</v>
      </c>
    </row>
    <row r="70" spans="1:6" ht="12.75">
      <c r="A70" s="46"/>
      <c r="B70" s="55" t="s">
        <v>170</v>
      </c>
      <c r="C70" s="139"/>
      <c r="D70" s="139"/>
      <c r="E70" s="139"/>
      <c r="F70" s="139"/>
    </row>
    <row r="71" spans="1:6" ht="12.75">
      <c r="A71" s="59"/>
      <c r="B71" s="56"/>
      <c r="C71" s="140"/>
      <c r="D71" s="140"/>
      <c r="E71" s="140"/>
      <c r="F71" s="140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J41"/>
  <sheetViews>
    <sheetView showGridLines="0" view="pageBreakPreview" zoomScaleNormal="75" zoomScaleSheetLayoutView="100" workbookViewId="0" topLeftCell="A1">
      <selection activeCell="A1" sqref="A1:G1"/>
    </sheetView>
  </sheetViews>
  <sheetFormatPr defaultColWidth="32.00390625" defaultRowHeight="12.75"/>
  <cols>
    <col min="1" max="1" width="42.140625" style="96" customWidth="1"/>
    <col min="2" max="2" width="18.140625" style="97" customWidth="1"/>
    <col min="3" max="3" width="15.421875" style="103" customWidth="1"/>
    <col min="4" max="4" width="16.7109375" style="96" customWidth="1"/>
    <col min="5" max="5" width="16.28125" style="96" customWidth="1"/>
    <col min="6" max="6" width="16.140625" style="96" customWidth="1"/>
    <col min="7" max="7" width="17.00390625" style="96" customWidth="1"/>
    <col min="8" max="18" width="13.7109375" style="96" customWidth="1"/>
    <col min="19" max="16384" width="32.00390625" style="96" customWidth="1"/>
  </cols>
  <sheetData>
    <row r="1" spans="1:10" ht="12.75">
      <c r="A1" s="400" t="str">
        <f>Parâmetros!A7</f>
        <v>Município de : Boqueirão do Leão - RS</v>
      </c>
      <c r="B1" s="401"/>
      <c r="C1" s="401"/>
      <c r="D1" s="401"/>
      <c r="E1" s="401"/>
      <c r="F1" s="401"/>
      <c r="G1" s="401"/>
      <c r="H1" s="378"/>
      <c r="I1" s="378"/>
      <c r="J1" s="379"/>
    </row>
    <row r="2" spans="1:10" ht="12.75">
      <c r="A2" s="402" t="s">
        <v>416</v>
      </c>
      <c r="B2" s="403"/>
      <c r="C2" s="403"/>
      <c r="D2" s="403"/>
      <c r="E2" s="403"/>
      <c r="F2" s="403"/>
      <c r="G2" s="403"/>
      <c r="H2" s="378"/>
      <c r="I2" s="378"/>
      <c r="J2" s="379"/>
    </row>
    <row r="3" spans="1:10" ht="12.75">
      <c r="A3" s="402" t="s">
        <v>221</v>
      </c>
      <c r="B3" s="403"/>
      <c r="C3" s="403"/>
      <c r="D3" s="403"/>
      <c r="E3" s="403"/>
      <c r="F3" s="403"/>
      <c r="G3" s="403"/>
      <c r="H3" s="378"/>
      <c r="I3" s="378"/>
      <c r="J3" s="379"/>
    </row>
    <row r="4" spans="1:7" ht="12">
      <c r="A4" s="410"/>
      <c r="B4" s="410"/>
      <c r="C4" s="410"/>
      <c r="D4" s="410"/>
      <c r="E4" s="410"/>
      <c r="F4" s="410"/>
      <c r="G4" s="410"/>
    </row>
    <row r="5" spans="1:7" ht="15">
      <c r="A5" s="406" t="s">
        <v>220</v>
      </c>
      <c r="B5" s="278">
        <v>2015</v>
      </c>
      <c r="C5" s="278">
        <f>B5+1</f>
        <v>2016</v>
      </c>
      <c r="D5" s="278">
        <f>C5+1</f>
        <v>2017</v>
      </c>
      <c r="E5" s="278">
        <f>D5+1</f>
        <v>2018</v>
      </c>
      <c r="F5" s="278">
        <f>E5+1</f>
        <v>2019</v>
      </c>
      <c r="G5" s="278">
        <f>F5+1</f>
        <v>2020</v>
      </c>
    </row>
    <row r="6" spans="1:7" ht="12.75" customHeight="1">
      <c r="A6" s="406"/>
      <c r="B6" s="278" t="s">
        <v>195</v>
      </c>
      <c r="C6" s="279" t="s">
        <v>195</v>
      </c>
      <c r="D6" s="279" t="s">
        <v>196</v>
      </c>
      <c r="E6" s="279" t="s">
        <v>17</v>
      </c>
      <c r="F6" s="279" t="s">
        <v>17</v>
      </c>
      <c r="G6" s="279" t="s">
        <v>17</v>
      </c>
    </row>
    <row r="7" spans="1:7" ht="22.5" customHeight="1">
      <c r="A7" s="280" t="s">
        <v>272</v>
      </c>
      <c r="B7" s="281">
        <v>545626.6</v>
      </c>
      <c r="C7" s="281">
        <v>372736.6</v>
      </c>
      <c r="D7" s="281">
        <v>1879296.04</v>
      </c>
      <c r="E7" s="282">
        <f>(D7*(1+Parâmetros!E19)+Projeções!G28-Projeções!G46-Projeções!G58)</f>
        <v>1859228.359402314</v>
      </c>
      <c r="F7" s="282">
        <f>(E7*(1+Parâmetros!F19)+Projeções!H28-Projeções!H46-Projeções!H58)</f>
        <v>1812156.7184489141</v>
      </c>
      <c r="G7" s="282">
        <f>(F7*(1+Parâmetros!G19)+Projeções!I28-Projeções!I46-Projeções!I58)</f>
        <v>1720615.38308472</v>
      </c>
    </row>
    <row r="8" spans="1:7" ht="14.25">
      <c r="A8" s="283" t="s">
        <v>273</v>
      </c>
      <c r="B8" s="281">
        <v>1490650.92</v>
      </c>
      <c r="C8" s="281">
        <v>1713184.71</v>
      </c>
      <c r="D8" s="281">
        <v>1713184.71</v>
      </c>
      <c r="E8" s="284">
        <f>(B8+C8+D8)/3</f>
        <v>1639006.78</v>
      </c>
      <c r="F8" s="284">
        <f>(C8+D8+E8)/3</f>
        <v>1688458.7333333334</v>
      </c>
      <c r="G8" s="284">
        <f>(D8+E8+F8)/3</f>
        <v>1680216.7411111111</v>
      </c>
    </row>
    <row r="9" spans="1:7" ht="22.5" customHeight="1">
      <c r="A9" s="280" t="s">
        <v>274</v>
      </c>
      <c r="B9" s="284">
        <f aca="true" t="shared" si="0" ref="B9:G9">B7-B8</f>
        <v>-945024.32</v>
      </c>
      <c r="C9" s="284">
        <f t="shared" si="0"/>
        <v>-1340448.1099999999</v>
      </c>
      <c r="D9" s="284">
        <f t="shared" si="0"/>
        <v>166111.33000000007</v>
      </c>
      <c r="E9" s="284">
        <f t="shared" si="0"/>
        <v>220221.57940231403</v>
      </c>
      <c r="F9" s="284">
        <f t="shared" si="0"/>
        <v>123697.98511558073</v>
      </c>
      <c r="G9" s="284">
        <f t="shared" si="0"/>
        <v>40398.64197360887</v>
      </c>
    </row>
    <row r="10" spans="1:7" ht="22.5" customHeight="1">
      <c r="A10" s="280" t="s">
        <v>275</v>
      </c>
      <c r="B10" s="284">
        <v>0</v>
      </c>
      <c r="C10" s="284">
        <v>0</v>
      </c>
      <c r="D10" s="281">
        <f>C10*Parâmetros!E$11+C10</f>
        <v>0</v>
      </c>
      <c r="E10" s="284"/>
      <c r="F10" s="284"/>
      <c r="G10" s="284"/>
    </row>
    <row r="11" spans="1:7" ht="22.5" customHeight="1">
      <c r="A11" s="280" t="s">
        <v>276</v>
      </c>
      <c r="B11" s="284">
        <v>0</v>
      </c>
      <c r="C11" s="284">
        <v>0</v>
      </c>
      <c r="D11" s="281">
        <f>C11*Parâmetros!E$11+C11</f>
        <v>0</v>
      </c>
      <c r="E11" s="284">
        <f>E9-E10</f>
        <v>220221.57940231403</v>
      </c>
      <c r="F11" s="284">
        <f>F9-F10</f>
        <v>123697.98511558073</v>
      </c>
      <c r="G11" s="284">
        <f>G9-G10</f>
        <v>40398.64197360887</v>
      </c>
    </row>
    <row r="12" spans="1:7" s="99" customFormat="1" ht="21.75" customHeight="1">
      <c r="A12" s="280" t="s">
        <v>277</v>
      </c>
      <c r="B12" s="284" t="e">
        <f aca="true" t="shared" si="1" ref="B12:G12">B11-A11</f>
        <v>#VALUE!</v>
      </c>
      <c r="C12" s="284">
        <f t="shared" si="1"/>
        <v>0</v>
      </c>
      <c r="D12" s="284">
        <f t="shared" si="1"/>
        <v>0</v>
      </c>
      <c r="E12" s="284">
        <f t="shared" si="1"/>
        <v>220221.57940231403</v>
      </c>
      <c r="F12" s="284">
        <f t="shared" si="1"/>
        <v>-96523.5942867333</v>
      </c>
      <c r="G12" s="284">
        <f t="shared" si="1"/>
        <v>-83299.34314197185</v>
      </c>
    </row>
    <row r="13" spans="1:7" s="100" customFormat="1" ht="15">
      <c r="A13" s="157"/>
      <c r="B13" s="158"/>
      <c r="C13" s="158"/>
      <c r="D13" s="158"/>
      <c r="E13" s="158"/>
      <c r="F13" s="158"/>
      <c r="G13" s="158"/>
    </row>
    <row r="14" spans="1:7" ht="15">
      <c r="A14" s="159" t="s">
        <v>296</v>
      </c>
      <c r="B14" s="285"/>
      <c r="C14" s="160"/>
      <c r="D14" s="160"/>
      <c r="E14" s="160"/>
      <c r="F14" s="160"/>
      <c r="G14" s="161" t="s">
        <v>11</v>
      </c>
    </row>
    <row r="15" spans="1:7" ht="15">
      <c r="A15" s="406" t="s">
        <v>244</v>
      </c>
      <c r="B15" s="278">
        <v>2015</v>
      </c>
      <c r="C15" s="278">
        <f>B15+1</f>
        <v>2016</v>
      </c>
      <c r="D15" s="278">
        <f>C15+1</f>
        <v>2017</v>
      </c>
      <c r="E15" s="278">
        <f>D15+1</f>
        <v>2018</v>
      </c>
      <c r="F15" s="278">
        <f>E15+1</f>
        <v>2019</v>
      </c>
      <c r="G15" s="278">
        <f>F15+1</f>
        <v>2020</v>
      </c>
    </row>
    <row r="16" spans="1:7" ht="15">
      <c r="A16" s="406"/>
      <c r="B16" s="278" t="s">
        <v>16</v>
      </c>
      <c r="C16" s="279" t="s">
        <v>16</v>
      </c>
      <c r="D16" s="279" t="s">
        <v>196</v>
      </c>
      <c r="E16" s="279" t="s">
        <v>17</v>
      </c>
      <c r="F16" s="279" t="s">
        <v>17</v>
      </c>
      <c r="G16" s="279" t="s">
        <v>17</v>
      </c>
    </row>
    <row r="17" spans="1:7" s="101" customFormat="1" ht="15">
      <c r="A17" s="303" t="s">
        <v>46</v>
      </c>
      <c r="B17" s="286">
        <f>Plano!D25</f>
        <v>0</v>
      </c>
      <c r="C17" s="286">
        <f>Plano!E25</f>
        <v>0</v>
      </c>
      <c r="D17" s="286">
        <f>Plano!F25</f>
        <v>0</v>
      </c>
      <c r="E17" s="287"/>
      <c r="F17" s="287"/>
      <c r="G17" s="287"/>
    </row>
    <row r="18" spans="1:7" ht="15">
      <c r="A18" s="280" t="s">
        <v>44</v>
      </c>
      <c r="B18" s="282">
        <f>Plano!D41</f>
        <v>5219.84</v>
      </c>
      <c r="C18" s="282">
        <f>Plano!E41</f>
        <v>10000</v>
      </c>
      <c r="D18" s="282">
        <f>Plano!F41</f>
        <v>10425</v>
      </c>
      <c r="E18" s="282">
        <f>Projeções!G45</f>
        <v>12009.2090625</v>
      </c>
      <c r="F18" s="282">
        <f>Projeções!H45</f>
        <v>13898.089519104375</v>
      </c>
      <c r="G18" s="282">
        <f>Projeções!I45</f>
        <v>16068.637547840022</v>
      </c>
    </row>
    <row r="19" spans="1:7" ht="15">
      <c r="A19" s="280" t="s">
        <v>45</v>
      </c>
      <c r="B19" s="282">
        <f>Plano!D54</f>
        <v>287831.67</v>
      </c>
      <c r="C19" s="282">
        <f>Plano!E54</f>
        <v>171022.55</v>
      </c>
      <c r="D19" s="282">
        <f>Plano!F54</f>
        <v>178291.00837499998</v>
      </c>
      <c r="E19" s="282">
        <f>Projeções!G58</f>
        <v>205384.5557351859</v>
      </c>
      <c r="F19" s="282">
        <f>Projeções!H58</f>
        <v>237688.67096855034</v>
      </c>
      <c r="G19" s="282">
        <f>Projeções!I58</f>
        <v>274809.9368457347</v>
      </c>
    </row>
    <row r="20" spans="1:7" ht="15.75" customHeight="1" hidden="1">
      <c r="A20" s="304" t="s">
        <v>41</v>
      </c>
      <c r="B20" s="288"/>
      <c r="C20" s="288"/>
      <c r="D20" s="288"/>
      <c r="E20" s="288"/>
      <c r="F20" s="288"/>
      <c r="G20" s="288"/>
    </row>
    <row r="21" spans="1:7" ht="12.75">
      <c r="A21" s="407" t="s">
        <v>418</v>
      </c>
      <c r="B21" s="408"/>
      <c r="C21" s="408"/>
      <c r="D21" s="408"/>
      <c r="E21" s="408"/>
      <c r="F21" s="408"/>
      <c r="G21" s="409"/>
    </row>
    <row r="22" spans="1:3" ht="12">
      <c r="A22" s="98"/>
      <c r="C22" s="95"/>
    </row>
    <row r="23" spans="1:3" ht="12">
      <c r="A23" s="98"/>
      <c r="C23" s="95"/>
    </row>
    <row r="24" spans="1:3" ht="12">
      <c r="A24" s="98"/>
      <c r="C24" s="95"/>
    </row>
    <row r="25" spans="1:3" ht="12">
      <c r="A25" s="98"/>
      <c r="C25" s="95"/>
    </row>
    <row r="26" spans="1:3" ht="12">
      <c r="A26" s="98"/>
      <c r="C26" s="95"/>
    </row>
    <row r="27" spans="1:3" ht="12">
      <c r="A27" s="98"/>
      <c r="C27" s="95"/>
    </row>
    <row r="28" ht="12">
      <c r="A28" s="102"/>
    </row>
    <row r="29" ht="12">
      <c r="A29" s="102"/>
    </row>
    <row r="30" ht="12">
      <c r="A30" s="102"/>
    </row>
    <row r="31" ht="12">
      <c r="A31" s="102"/>
    </row>
    <row r="32" ht="12">
      <c r="A32" s="102"/>
    </row>
    <row r="33" ht="12">
      <c r="A33" s="102"/>
    </row>
    <row r="34" ht="12">
      <c r="A34" s="102"/>
    </row>
    <row r="35" ht="12">
      <c r="A35" s="102"/>
    </row>
    <row r="36" ht="12">
      <c r="A36" s="102"/>
    </row>
    <row r="37" ht="12">
      <c r="A37" s="102"/>
    </row>
    <row r="38" ht="12">
      <c r="A38" s="102"/>
    </row>
    <row r="39" ht="12">
      <c r="A39" s="102"/>
    </row>
    <row r="40" ht="12">
      <c r="A40" s="102"/>
    </row>
    <row r="41" ht="12">
      <c r="A41" s="102"/>
    </row>
  </sheetData>
  <sheetProtection/>
  <mergeCells count="7">
    <mergeCell ref="A15:A16"/>
    <mergeCell ref="A5:A6"/>
    <mergeCell ref="A21:G21"/>
    <mergeCell ref="A1:G1"/>
    <mergeCell ref="A2:G2"/>
    <mergeCell ref="A3:G3"/>
    <mergeCell ref="A4:G4"/>
  </mergeCells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J113"/>
  <sheetViews>
    <sheetView zoomScaleSheetLayoutView="30" workbookViewId="0" topLeftCell="A1">
      <selection activeCell="A2" sqref="A2:I2"/>
    </sheetView>
  </sheetViews>
  <sheetFormatPr defaultColWidth="19.140625" defaultRowHeight="12.75"/>
  <cols>
    <col min="1" max="1" width="19.57421875" style="8" customWidth="1"/>
    <col min="2" max="2" width="53.57421875" style="8" customWidth="1"/>
    <col min="3" max="3" width="22.57421875" style="8" customWidth="1"/>
    <col min="4" max="4" width="23.140625" style="8" customWidth="1"/>
    <col min="5" max="5" width="23.8515625" style="8" customWidth="1"/>
    <col min="6" max="6" width="20.57421875" style="8" customWidth="1"/>
    <col min="7" max="7" width="23.7109375" style="8" customWidth="1"/>
    <col min="8" max="8" width="22.00390625" style="8" customWidth="1"/>
    <col min="9" max="9" width="24.140625" style="8" customWidth="1"/>
    <col min="10" max="10" width="19.140625" style="8" hidden="1" customWidth="1"/>
    <col min="11" max="16384" width="19.140625" style="8" customWidth="1"/>
  </cols>
  <sheetData>
    <row r="1" spans="1:9" s="2" customFormat="1" ht="17.25" customHeight="1">
      <c r="A1" s="412" t="str">
        <f>Parâmetros!A7</f>
        <v>Município de : Boqueirão do Leão - RS</v>
      </c>
      <c r="B1" s="413"/>
      <c r="C1" s="413"/>
      <c r="D1" s="413"/>
      <c r="E1" s="413"/>
      <c r="F1" s="413"/>
      <c r="G1" s="413"/>
      <c r="H1" s="413"/>
      <c r="I1" s="413"/>
    </row>
    <row r="2" spans="1:9" s="2" customFormat="1" ht="17.25" customHeight="1">
      <c r="A2" s="414" t="s">
        <v>416</v>
      </c>
      <c r="B2" s="415"/>
      <c r="C2" s="415"/>
      <c r="D2" s="415"/>
      <c r="E2" s="415"/>
      <c r="F2" s="415"/>
      <c r="G2" s="415"/>
      <c r="H2" s="415"/>
      <c r="I2" s="415"/>
    </row>
    <row r="3" spans="1:10" s="2" customFormat="1" ht="30" customHeight="1">
      <c r="A3" s="62" t="s">
        <v>417</v>
      </c>
      <c r="B3" s="62"/>
      <c r="C3" s="63"/>
      <c r="D3" s="63"/>
      <c r="E3" s="63"/>
      <c r="F3" s="64"/>
      <c r="G3" s="64"/>
      <c r="H3" s="64"/>
      <c r="I3" s="64"/>
      <c r="J3" s="3"/>
    </row>
    <row r="4" spans="1:10" s="2" customFormat="1" ht="19.5" customHeight="1">
      <c r="A4" s="65"/>
      <c r="B4" s="66"/>
      <c r="C4" s="66"/>
      <c r="D4" s="66"/>
      <c r="E4" s="66"/>
      <c r="F4" s="66"/>
      <c r="G4" s="66"/>
      <c r="H4" s="66"/>
      <c r="I4" s="66"/>
      <c r="J4" s="5"/>
    </row>
    <row r="5" spans="1:10" s="2" customFormat="1" ht="15.75" hidden="1">
      <c r="A5" s="67"/>
      <c r="B5" s="68"/>
      <c r="C5" s="68"/>
      <c r="D5" s="68"/>
      <c r="E5" s="68"/>
      <c r="F5" s="68"/>
      <c r="G5" s="68"/>
      <c r="H5" s="68"/>
      <c r="I5" s="68"/>
      <c r="J5" s="4"/>
    </row>
    <row r="6" spans="1:10" s="2" customFormat="1" ht="16.5" thickBot="1">
      <c r="A6" s="69"/>
      <c r="B6" s="70"/>
      <c r="C6" s="70"/>
      <c r="D6" s="70"/>
      <c r="E6" s="70"/>
      <c r="F6" s="70"/>
      <c r="G6" s="70"/>
      <c r="H6" s="70"/>
      <c r="I6" s="71" t="s">
        <v>96</v>
      </c>
      <c r="J6" s="16"/>
    </row>
    <row r="7" spans="1:10" s="1" customFormat="1" ht="16.5" thickTop="1">
      <c r="A7" s="164" t="s">
        <v>0</v>
      </c>
      <c r="B7" s="165" t="s">
        <v>1</v>
      </c>
      <c r="C7" s="166" t="s">
        <v>399</v>
      </c>
      <c r="D7" s="166" t="s">
        <v>399</v>
      </c>
      <c r="E7" s="166" t="s">
        <v>399</v>
      </c>
      <c r="F7" s="167" t="s">
        <v>197</v>
      </c>
      <c r="G7" s="167" t="s">
        <v>18</v>
      </c>
      <c r="H7" s="168" t="s">
        <v>18</v>
      </c>
      <c r="I7" s="169" t="s">
        <v>18</v>
      </c>
      <c r="J7" s="19" t="s">
        <v>18</v>
      </c>
    </row>
    <row r="8" spans="1:10" s="1" customFormat="1" ht="27.75" customHeight="1">
      <c r="A8" s="170"/>
      <c r="B8" s="171" t="s">
        <v>14</v>
      </c>
      <c r="C8" s="172">
        <v>2014</v>
      </c>
      <c r="D8" s="173">
        <f aca="true" t="shared" si="0" ref="D8:I8">C8+1</f>
        <v>2015</v>
      </c>
      <c r="E8" s="173">
        <f t="shared" si="0"/>
        <v>2016</v>
      </c>
      <c r="F8" s="173">
        <f t="shared" si="0"/>
        <v>2017</v>
      </c>
      <c r="G8" s="173">
        <f>F8+1</f>
        <v>2018</v>
      </c>
      <c r="H8" s="173">
        <f t="shared" si="0"/>
        <v>2019</v>
      </c>
      <c r="I8" s="173">
        <f t="shared" si="0"/>
        <v>2020</v>
      </c>
      <c r="J8" s="20">
        <v>2005</v>
      </c>
    </row>
    <row r="9" spans="1:10" s="6" customFormat="1" ht="17.25" customHeight="1">
      <c r="A9" s="174"/>
      <c r="B9" s="175"/>
      <c r="C9" s="176"/>
      <c r="D9" s="177"/>
      <c r="E9" s="177"/>
      <c r="F9" s="177"/>
      <c r="G9" s="177"/>
      <c r="H9" s="178"/>
      <c r="I9" s="179"/>
      <c r="J9" s="21"/>
    </row>
    <row r="10" spans="1:9" s="24" customFormat="1" ht="12.75">
      <c r="A10" s="115" t="s">
        <v>50</v>
      </c>
      <c r="B10" s="109" t="s">
        <v>2</v>
      </c>
      <c r="C10" s="110">
        <f>Plano!C7</f>
        <v>19631069.684</v>
      </c>
      <c r="D10" s="110">
        <f>Plano!D7</f>
        <v>20517989.429999996</v>
      </c>
      <c r="E10" s="110">
        <f>Plano!E7</f>
        <v>24316041.34</v>
      </c>
      <c r="F10" s="110">
        <f>Plano!F7</f>
        <v>25349473.09695</v>
      </c>
      <c r="G10" s="110">
        <f>IF(G24=0,"-",(G11+G12+G15+G20+G21+G22+G23+G24))</f>
        <v>27812032.19940368</v>
      </c>
      <c r="H10" s="110">
        <f>IF(H24=0,"-",(H11+H12+H15+H20+H21+H22+H23+H24))</f>
        <v>31333049.336556524</v>
      </c>
      <c r="I10" s="110">
        <f>IF(I24=0,"-",(I11+I12+I15+I20+I21+I22+I23+I24))</f>
        <v>34438981.10508963</v>
      </c>
    </row>
    <row r="11" spans="1:9" s="24" customFormat="1" ht="12.75">
      <c r="A11" s="115" t="s">
        <v>51</v>
      </c>
      <c r="B11" s="109" t="s">
        <v>52</v>
      </c>
      <c r="C11" s="110">
        <f>Plano!C8</f>
        <v>929222.02</v>
      </c>
      <c r="D11" s="110">
        <f>Plano!D8</f>
        <v>917650.19</v>
      </c>
      <c r="E11" s="110">
        <f>Plano!E8</f>
        <v>1024627.32</v>
      </c>
      <c r="F11" s="110">
        <f>Plano!F8</f>
        <v>1068173.9811</v>
      </c>
      <c r="G11" s="111">
        <f>IF(F11=0,"-",(F11*(1+Parâmetros!E11)*(1+Parâmetros!E12)*(1+Parâmetros!E15)))</f>
        <v>1138048.3716231277</v>
      </c>
      <c r="H11" s="111">
        <f>IF(G11=0,"-",(G11*(1+Parâmetros!F11)*(1+Parâmetros!F12)*(1+Parâmetros!F15)))</f>
        <v>1249902.8989274187</v>
      </c>
      <c r="I11" s="111">
        <f>IF(H11=0,"-",(H11*(1+Parâmetros!G11)*(1+Parâmetros!G12)*(1+Parâmetros!G15)))</f>
        <v>1348725.0066857282</v>
      </c>
    </row>
    <row r="12" spans="1:9" s="24" customFormat="1" ht="12" customHeight="1">
      <c r="A12" s="115" t="s">
        <v>53</v>
      </c>
      <c r="B12" s="109" t="s">
        <v>54</v>
      </c>
      <c r="C12" s="110">
        <f>Plano!C9</f>
        <v>988517.5499999999</v>
      </c>
      <c r="D12" s="110">
        <f>Plano!D9</f>
        <v>1158562.58</v>
      </c>
      <c r="E12" s="110">
        <f>Plano!E9</f>
        <v>1069730.8199999998</v>
      </c>
      <c r="F12" s="110">
        <f>Plano!F9</f>
        <v>1115194.37985</v>
      </c>
      <c r="G12" s="111">
        <f>G13+G14</f>
        <v>1234319.679721344</v>
      </c>
      <c r="H12" s="111">
        <f>H13+H14</f>
        <v>1372763.3971803433</v>
      </c>
      <c r="I12" s="111">
        <f>I13+I14</f>
        <v>1525402.5754738478</v>
      </c>
    </row>
    <row r="13" spans="1:9" s="24" customFormat="1" ht="12" customHeight="1">
      <c r="A13" s="116" t="s">
        <v>53</v>
      </c>
      <c r="B13" s="112" t="s">
        <v>224</v>
      </c>
      <c r="C13" s="110">
        <f>Plano!C10</f>
        <v>5273.59</v>
      </c>
      <c r="D13" s="110">
        <f>Plano!D10</f>
        <v>39851.24</v>
      </c>
      <c r="E13" s="110">
        <f>Plano!E10</f>
        <v>81575.13</v>
      </c>
      <c r="F13" s="110">
        <f>Plano!F10</f>
        <v>85042.073025</v>
      </c>
      <c r="G13" s="111">
        <f>F13*(1+Parâmetros!E11)*(1+Parâmetros!E12)</f>
        <v>90580.20416505232</v>
      </c>
      <c r="H13" s="111">
        <f>G13*(1+Parâmetros!F11)*(1+Parâmetros!F12)</f>
        <v>96828.22556030439</v>
      </c>
      <c r="I13" s="111">
        <f>H13*(1+Parâmetros!G11)*(1+Parâmetros!G12)</f>
        <v>103357.51548125467</v>
      </c>
    </row>
    <row r="14" spans="1:9" s="24" customFormat="1" ht="12" customHeight="1">
      <c r="A14" s="116" t="s">
        <v>53</v>
      </c>
      <c r="B14" s="336" t="s">
        <v>381</v>
      </c>
      <c r="C14" s="110">
        <f>Plano!C11</f>
        <v>983243.96</v>
      </c>
      <c r="D14" s="110">
        <f>Plano!D11</f>
        <v>1118711.34</v>
      </c>
      <c r="E14" s="110">
        <f>Plano!E11</f>
        <v>988155.69</v>
      </c>
      <c r="F14" s="110">
        <f>Plano!F11</f>
        <v>1030152.306825</v>
      </c>
      <c r="G14" s="111">
        <f>F14*(1+Parâmetros!E11)*(1+Parâmetros!E17)</f>
        <v>1143739.4755562916</v>
      </c>
      <c r="H14" s="111">
        <f>G14*(1+Parâmetros!F11)*(1+Parâmetros!F17)</f>
        <v>1275935.1716200388</v>
      </c>
      <c r="I14" s="111">
        <f>H14*(1+Parâmetros!G11)*(1+Parâmetros!G17)</f>
        <v>1422045.059992593</v>
      </c>
    </row>
    <row r="15" spans="1:9" s="24" customFormat="1" ht="12.75">
      <c r="A15" s="115" t="s">
        <v>55</v>
      </c>
      <c r="B15" s="109" t="s">
        <v>3</v>
      </c>
      <c r="C15" s="110">
        <f>Plano!C12</f>
        <v>1960576.23</v>
      </c>
      <c r="D15" s="110">
        <f>Plano!D12</f>
        <v>2354646.33</v>
      </c>
      <c r="E15" s="110">
        <f>Plano!E12</f>
        <v>3013072.4299999997</v>
      </c>
      <c r="F15" s="110">
        <f>Plano!F12</f>
        <v>3141128.008275</v>
      </c>
      <c r="G15" s="110">
        <f>G16+G19</f>
        <v>3274625.9486266873</v>
      </c>
      <c r="H15" s="110">
        <f>H16+H19</f>
        <v>3414125.014038184</v>
      </c>
      <c r="I15" s="110">
        <f>I16+I19</f>
        <v>3556152.614622173</v>
      </c>
    </row>
    <row r="16" spans="1:9" ht="12.75">
      <c r="A16" s="117" t="s">
        <v>56</v>
      </c>
      <c r="B16" s="113" t="s">
        <v>188</v>
      </c>
      <c r="C16" s="110">
        <f>Plano!C13</f>
        <v>1960576.23</v>
      </c>
      <c r="D16" s="110">
        <f>Plano!D13</f>
        <v>2354646.33</v>
      </c>
      <c r="E16" s="110">
        <f>Plano!E13</f>
        <v>3013072.4299999997</v>
      </c>
      <c r="F16" s="110">
        <f>Plano!F13</f>
        <v>3141128.008275</v>
      </c>
      <c r="G16" s="111">
        <f>G17+G18</f>
        <v>3274625.9486266873</v>
      </c>
      <c r="H16" s="111">
        <f>H17+H18</f>
        <v>3414125.014038184</v>
      </c>
      <c r="I16" s="111">
        <f>I17+I18</f>
        <v>3556152.614622173</v>
      </c>
    </row>
    <row r="17" spans="1:9" ht="12.75">
      <c r="A17" s="116" t="s">
        <v>56</v>
      </c>
      <c r="B17" s="112" t="s">
        <v>226</v>
      </c>
      <c r="C17" s="110">
        <f>Plano!C14</f>
        <v>124971.74</v>
      </c>
      <c r="D17" s="110">
        <f>Plano!D14</f>
        <v>162385.93</v>
      </c>
      <c r="E17" s="110">
        <f>Plano!E14</f>
        <v>180374.05</v>
      </c>
      <c r="F17" s="110">
        <f>Plano!F14</f>
        <v>188039.94712499998</v>
      </c>
      <c r="G17" s="111">
        <f>F17*(1+Parâmetros!E11)</f>
        <v>196031.64487781248</v>
      </c>
      <c r="H17" s="111">
        <f>G17*(1+Parâmetros!F11)</f>
        <v>204382.5929496073</v>
      </c>
      <c r="I17" s="111">
        <f>H17*(1+Parâmetros!G11)</f>
        <v>212884.90881631098</v>
      </c>
    </row>
    <row r="18" spans="1:9" ht="12.75">
      <c r="A18" s="116" t="s">
        <v>56</v>
      </c>
      <c r="B18" s="336" t="s">
        <v>374</v>
      </c>
      <c r="C18" s="110">
        <f>Plano!C15</f>
        <v>1835604.49</v>
      </c>
      <c r="D18" s="110">
        <f>Plano!D15</f>
        <v>2192260.4</v>
      </c>
      <c r="E18" s="110">
        <f>Plano!E15</f>
        <v>2832698.38</v>
      </c>
      <c r="F18" s="110">
        <f>Plano!F15</f>
        <v>2953088.06115</v>
      </c>
      <c r="G18" s="111">
        <f>F18*(1+Parâmetros!E11)</f>
        <v>3078594.303748875</v>
      </c>
      <c r="H18" s="111">
        <f>G18*(1+Parâmetros!F11)</f>
        <v>3209742.421088577</v>
      </c>
      <c r="I18" s="111">
        <f>H18*(1+Parâmetros!G11)</f>
        <v>3343267.705805862</v>
      </c>
    </row>
    <row r="19" spans="1:9" ht="12.75">
      <c r="A19" s="117" t="s">
        <v>57</v>
      </c>
      <c r="B19" s="113" t="s">
        <v>58</v>
      </c>
      <c r="C19" s="110">
        <f>Plano!C16</f>
        <v>0</v>
      </c>
      <c r="D19" s="110">
        <f>Plano!D16</f>
        <v>0</v>
      </c>
      <c r="E19" s="110">
        <f>Plano!F16</f>
        <v>0</v>
      </c>
      <c r="F19" s="110">
        <f>Plano!G16</f>
        <v>0</v>
      </c>
      <c r="G19" s="111">
        <f>F19*(1+Parâmetros!E11)*(1+Parâmetros!E12)</f>
        <v>0</v>
      </c>
      <c r="H19" s="111">
        <f>G19*(1+Parâmetros!F11)*(1+Parâmetros!F12)</f>
        <v>0</v>
      </c>
      <c r="I19" s="111">
        <f>H19*(1+Parâmetros!G11)*(1+Parâmetros!G12)</f>
        <v>0</v>
      </c>
    </row>
    <row r="20" spans="1:9" ht="12.75">
      <c r="A20" s="115" t="s">
        <v>59</v>
      </c>
      <c r="B20" s="109" t="s">
        <v>60</v>
      </c>
      <c r="C20" s="337">
        <f>Plano!C17</f>
        <v>0</v>
      </c>
      <c r="D20" s="110">
        <f>Plano!D17</f>
        <v>0</v>
      </c>
      <c r="E20" s="110">
        <f>Plano!F17</f>
        <v>0</v>
      </c>
      <c r="F20" s="110">
        <f>Plano!G17</f>
        <v>0</v>
      </c>
      <c r="G20" s="111">
        <f>F20*(1+Parâmetros!E11)*(1+Parâmetros!E12)</f>
        <v>0</v>
      </c>
      <c r="H20" s="111">
        <f>G20*(1+Parâmetros!F11)*(1+Parâmetros!F12)</f>
        <v>0</v>
      </c>
      <c r="I20" s="111">
        <f>H20*(1+Parâmetros!G11)*(1+Parâmetros!G12)</f>
        <v>0</v>
      </c>
    </row>
    <row r="21" spans="1:9" ht="12.75">
      <c r="A21" s="115" t="s">
        <v>61</v>
      </c>
      <c r="B21" s="109" t="s">
        <v>4</v>
      </c>
      <c r="C21" s="110">
        <f>Plano!C18</f>
        <v>0</v>
      </c>
      <c r="D21" s="110">
        <f>Plano!D18</f>
        <v>0</v>
      </c>
      <c r="E21" s="110">
        <f>Plano!E18</f>
        <v>0</v>
      </c>
      <c r="F21" s="110">
        <f>Plano!F18</f>
        <v>0</v>
      </c>
      <c r="G21" s="111">
        <f>F21*(1+Parâmetros!E11)*(1+Parâmetros!E12)</f>
        <v>0</v>
      </c>
      <c r="H21" s="111">
        <f>G21*(1+Parâmetros!F11)*(1+Parâmetros!F12)</f>
        <v>0</v>
      </c>
      <c r="I21" s="111">
        <f>H21*(1+Parâmetros!G11)*(1+Parâmetros!G12)</f>
        <v>0</v>
      </c>
    </row>
    <row r="22" spans="1:9" ht="12.75">
      <c r="A22" s="115" t="s">
        <v>62</v>
      </c>
      <c r="B22" s="109" t="s">
        <v>63</v>
      </c>
      <c r="C22" s="110">
        <f>Plano!C19</f>
        <v>35417.014</v>
      </c>
      <c r="D22" s="110">
        <f>Plano!D19</f>
        <v>20396.88</v>
      </c>
      <c r="E22" s="110">
        <f>Plano!E19</f>
        <v>21210.4</v>
      </c>
      <c r="F22" s="110">
        <f>Plano!F19</f>
        <v>22111.842</v>
      </c>
      <c r="G22" s="111">
        <f>F22*(1+Parâmetros!E11)*(1+Parâmetros!E12)</f>
        <v>23551.814902684502</v>
      </c>
      <c r="H22" s="111">
        <f>G22*(1+Parâmetros!F11)*(1+Parâmetros!F12)</f>
        <v>25176.366809642597</v>
      </c>
      <c r="I22" s="111">
        <f>H22*(1+Parâmetros!G11)*(1+Parâmetros!G12)</f>
        <v>26874.05151991304</v>
      </c>
    </row>
    <row r="23" spans="1:9" s="24" customFormat="1" ht="12.75">
      <c r="A23" s="115" t="s">
        <v>64</v>
      </c>
      <c r="B23" s="109" t="s">
        <v>65</v>
      </c>
      <c r="C23" s="110">
        <f>Plano!C20</f>
        <v>15562499.2</v>
      </c>
      <c r="D23" s="110">
        <f>Plano!D20</f>
        <v>15910259.12</v>
      </c>
      <c r="E23" s="110">
        <f>Plano!E20</f>
        <v>19081521.2</v>
      </c>
      <c r="F23" s="110">
        <f>Plano!F20</f>
        <v>19892485.851</v>
      </c>
      <c r="G23" s="111">
        <f>IF(F23=0,"-",(F23*(1+Parâmetros!E11)*(1+Parâmetros!E12)*(1+Parâmetros!E16)))</f>
        <v>22023919.218710717</v>
      </c>
      <c r="H23" s="111">
        <f>IF(G23=0,"-",(G23*(1+Parâmetros!F11)*(1+Parâmetros!F12)*(1+Parâmetros!F16)))</f>
        <v>25145404.97168272</v>
      </c>
      <c r="I23" s="111">
        <f>IF(H23=0,"-",(H23*(1+Parâmetros!G11)*(1+Parâmetros!G12)*(1+Parâmetros!G16)))</f>
        <v>27847675.578666594</v>
      </c>
    </row>
    <row r="24" spans="1:9" s="24" customFormat="1" ht="12.75">
      <c r="A24" s="115" t="s">
        <v>66</v>
      </c>
      <c r="B24" s="109" t="s">
        <v>5</v>
      </c>
      <c r="C24" s="110">
        <f>Plano!C21</f>
        <v>154837.66999999998</v>
      </c>
      <c r="D24" s="110">
        <f>Plano!D21</f>
        <v>156474.33</v>
      </c>
      <c r="E24" s="110">
        <f>Plano!E21</f>
        <v>105879.17</v>
      </c>
      <c r="F24" s="110">
        <f>Plano!F21</f>
        <v>110379.034725</v>
      </c>
      <c r="G24" s="111">
        <f>G25+G26</f>
        <v>117567.16581912014</v>
      </c>
      <c r="H24" s="111">
        <f>H25+H26</f>
        <v>125676.68791821493</v>
      </c>
      <c r="I24" s="111">
        <f>I25+I26</f>
        <v>134151.2781213759</v>
      </c>
    </row>
    <row r="25" spans="1:9" s="24" customFormat="1" ht="12.75">
      <c r="A25" s="116" t="s">
        <v>66</v>
      </c>
      <c r="B25" s="112" t="s">
        <v>227</v>
      </c>
      <c r="C25" s="110">
        <f>Plano!C22</f>
        <v>153345.61</v>
      </c>
      <c r="D25" s="110">
        <f>Plano!D22</f>
        <v>152482.27</v>
      </c>
      <c r="E25" s="110">
        <f>Plano!E22</f>
        <v>105116.52</v>
      </c>
      <c r="F25" s="110">
        <f>Plano!F22</f>
        <v>109583.9721</v>
      </c>
      <c r="G25" s="111">
        <f>F25*(1+Parâmetros!E11)*(1+Parâmetros!E12)</f>
        <v>116720.32692708923</v>
      </c>
      <c r="H25" s="111">
        <f>G25*(1+Parâmetros!F11)*(1+Parâmetros!F12)</f>
        <v>124771.43595939408</v>
      </c>
      <c r="I25" s="111">
        <f>H25*(1+Parâmetros!G11)*(1+Parâmetros!G12)</f>
        <v>133184.98350214845</v>
      </c>
    </row>
    <row r="26" spans="1:9" s="24" customFormat="1" ht="12.75">
      <c r="A26" s="116" t="s">
        <v>66</v>
      </c>
      <c r="B26" s="336" t="s">
        <v>375</v>
      </c>
      <c r="C26" s="110">
        <f>Plano!C23</f>
        <v>1492.06</v>
      </c>
      <c r="D26" s="110">
        <f>Plano!D23</f>
        <v>3992.06</v>
      </c>
      <c r="E26" s="110">
        <f>Plano!E23</f>
        <v>762.65</v>
      </c>
      <c r="F26" s="110">
        <f>Plano!F23</f>
        <v>795.062625</v>
      </c>
      <c r="G26" s="111">
        <f>F26*(1+Parâmetros!E11)*(1+Parâmetros!E12)</f>
        <v>846.8388920309063</v>
      </c>
      <c r="H26" s="111">
        <f>G26*(1+Parâmetros!F11)*(1+Parâmetros!F12)</f>
        <v>905.2519588208579</v>
      </c>
      <c r="I26" s="111">
        <f>H26*(1+Parâmetros!G11)*(1+Parâmetros!G12)</f>
        <v>966.2946192274392</v>
      </c>
    </row>
    <row r="27" spans="1:9" s="24" customFormat="1" ht="12.75">
      <c r="A27" s="115" t="s">
        <v>67</v>
      </c>
      <c r="B27" s="109" t="s">
        <v>68</v>
      </c>
      <c r="C27" s="110">
        <f>Plano!C24</f>
        <v>1445041.67</v>
      </c>
      <c r="D27" s="110">
        <f>Plano!D24</f>
        <v>1311825.04</v>
      </c>
      <c r="E27" s="110">
        <f>Plano!E24</f>
        <v>768414.12</v>
      </c>
      <c r="F27" s="110">
        <f>Plano!F24</f>
        <v>801071.7201</v>
      </c>
      <c r="G27" s="110">
        <f>G28+G29+G30+G31+G32</f>
        <v>853239.3129242822</v>
      </c>
      <c r="H27" s="110">
        <f>H28+H29+H30+H31+H32</f>
        <v>912093.8665385246</v>
      </c>
      <c r="I27" s="110">
        <f>I28+I29+I30+I31+I32</f>
        <v>973597.8882769131</v>
      </c>
    </row>
    <row r="28" spans="1:9" s="24" customFormat="1" ht="12.75">
      <c r="A28" s="115" t="s">
        <v>69</v>
      </c>
      <c r="B28" s="109" t="s">
        <v>70</v>
      </c>
      <c r="C28" s="110">
        <f>Plano!C25</f>
        <v>0</v>
      </c>
      <c r="D28" s="110">
        <f>Plano!D25</f>
        <v>0</v>
      </c>
      <c r="E28" s="110">
        <f>Plano!E25</f>
        <v>0</v>
      </c>
      <c r="F28" s="110">
        <f>Plano!F25</f>
        <v>0</v>
      </c>
      <c r="G28" s="111">
        <f>Dívida!E17</f>
        <v>0</v>
      </c>
      <c r="H28" s="111">
        <f>Dívida!F17</f>
        <v>0</v>
      </c>
      <c r="I28" s="111">
        <f>Dívida!G17</f>
        <v>0</v>
      </c>
    </row>
    <row r="29" spans="1:9" s="24" customFormat="1" ht="12.75">
      <c r="A29" s="115" t="s">
        <v>71</v>
      </c>
      <c r="B29" s="109" t="s">
        <v>72</v>
      </c>
      <c r="C29" s="110">
        <f>Plano!C26</f>
        <v>0</v>
      </c>
      <c r="D29" s="110">
        <f>Plano!D26</f>
        <v>110150</v>
      </c>
      <c r="E29" s="110">
        <f>Plano!E26</f>
        <v>64600</v>
      </c>
      <c r="F29" s="110">
        <f>Plano!F26</f>
        <v>67345.5</v>
      </c>
      <c r="G29" s="111">
        <f>F29*(1+Parâmetros!E11)*(1+Parâmetros!E12)</f>
        <v>71731.190487375</v>
      </c>
      <c r="H29" s="111">
        <f>G29*(1+Parâmetros!F11)*(1+Parâmetros!F12)</f>
        <v>76679.04876395126</v>
      </c>
      <c r="I29" s="111">
        <f>H29*(1+Parâmetros!G11)*(1+Parâmetros!G12)</f>
        <v>81849.64584290641</v>
      </c>
    </row>
    <row r="30" spans="1:9" ht="12.75">
      <c r="A30" s="115" t="s">
        <v>73</v>
      </c>
      <c r="B30" s="109" t="s">
        <v>74</v>
      </c>
      <c r="C30" s="110">
        <f>Plano!C27</f>
        <v>136804.73</v>
      </c>
      <c r="D30" s="110">
        <f>Plano!D27</f>
        <v>169629.04</v>
      </c>
      <c r="E30" s="110">
        <f>Plano!E27</f>
        <v>181022.55</v>
      </c>
      <c r="F30" s="110">
        <f>Plano!F27</f>
        <v>188716.00837499998</v>
      </c>
      <c r="G30" s="111">
        <f>F30*(1+Parâmetros!E11)*(1+Parâmetros!E12)</f>
        <v>201005.61945139882</v>
      </c>
      <c r="H30" s="111">
        <f>G30*(1+Parâmetros!F11)*(1+Parâmetros!F12)</f>
        <v>214870.54084868115</v>
      </c>
      <c r="I30" s="111">
        <f>H30*(1+Parâmetros!G11)*(1+Parâmetros!G12)</f>
        <v>229359.62240061632</v>
      </c>
    </row>
    <row r="31" spans="1:9" s="24" customFormat="1" ht="12.75">
      <c r="A31" s="115" t="s">
        <v>75</v>
      </c>
      <c r="B31" s="109" t="s">
        <v>76</v>
      </c>
      <c r="C31" s="110">
        <f>Plano!C28</f>
        <v>1308236.94</v>
      </c>
      <c r="D31" s="110">
        <f>Plano!D28</f>
        <v>1032046</v>
      </c>
      <c r="E31" s="110">
        <f>Plano!E28</f>
        <v>522791.57</v>
      </c>
      <c r="F31" s="110">
        <f>Plano!F28</f>
        <v>545010.2117250001</v>
      </c>
      <c r="G31" s="111">
        <f>F31*(1+Parâmetros!E11)*(1+Parâmetros!E12)</f>
        <v>580502.5029855084</v>
      </c>
      <c r="H31" s="111">
        <f>G31*(1+Parâmetros!F11)*(1+Parâmetros!F12)</f>
        <v>620544.2769258922</v>
      </c>
      <c r="I31" s="111">
        <f>H31*(1+Parâmetros!G11)*(1+Parâmetros!G12)</f>
        <v>662388.6200333904</v>
      </c>
    </row>
    <row r="32" spans="1:9" ht="12.75">
      <c r="A32" s="115" t="s">
        <v>77</v>
      </c>
      <c r="B32" s="109" t="s">
        <v>6</v>
      </c>
      <c r="C32" s="110">
        <f>Plano!C29</f>
        <v>0</v>
      </c>
      <c r="D32" s="110">
        <f>Plano!D29</f>
        <v>0</v>
      </c>
      <c r="E32" s="110">
        <f>Plano!E29</f>
        <v>0</v>
      </c>
      <c r="F32" s="110">
        <f>Plano!F29</f>
        <v>0</v>
      </c>
      <c r="G32" s="111">
        <f>F32*(1+Parâmetros!E11)*(1+Parâmetros!E12)</f>
        <v>0</v>
      </c>
      <c r="H32" s="111">
        <f>G32*(1+Parâmetros!F11)*(1+Parâmetros!F12)</f>
        <v>0</v>
      </c>
      <c r="I32" s="111">
        <f>H32*(1+Parâmetros!G11)*(1+Parâmetros!G12)</f>
        <v>0</v>
      </c>
    </row>
    <row r="33" spans="1:9" ht="12.75">
      <c r="A33" s="116" t="s">
        <v>228</v>
      </c>
      <c r="B33" s="336" t="s">
        <v>376</v>
      </c>
      <c r="C33" s="110">
        <f>Plano!C30</f>
        <v>196832.41</v>
      </c>
      <c r="D33" s="110">
        <f>Plano!D30</f>
        <v>272994.3</v>
      </c>
      <c r="E33" s="110">
        <f>Plano!E30</f>
        <v>223698.94</v>
      </c>
      <c r="F33" s="110">
        <f>Plano!F30</f>
        <v>233206.14495000002</v>
      </c>
      <c r="G33" s="111">
        <f>F33*(1+Parâmetros!E11)*(1+Parâmetros!E17)</f>
        <v>258920.03750754936</v>
      </c>
      <c r="H33" s="111">
        <f>G33*(1+Parâmetros!F11)*(1+Parâmetros!F17)</f>
        <v>288846.53328274697</v>
      </c>
      <c r="I33" s="111">
        <f>H33*(1+Parâmetros!G11)*(1+Parâmetros!G17)</f>
        <v>321922.9275020209</v>
      </c>
    </row>
    <row r="34" spans="1:9" ht="12.75">
      <c r="A34" s="115" t="s">
        <v>295</v>
      </c>
      <c r="B34" s="109" t="s">
        <v>189</v>
      </c>
      <c r="C34" s="110">
        <f>Plano!C31</f>
        <v>-2187977.46</v>
      </c>
      <c r="D34" s="110">
        <f>Plano!D31</f>
        <v>-2229952.94</v>
      </c>
      <c r="E34" s="110">
        <f>Plano!E31</f>
        <v>-2612644.69</v>
      </c>
      <c r="F34" s="110">
        <f>Plano!F31</f>
        <v>-2723682.089325</v>
      </c>
      <c r="G34" s="111">
        <f>F34*(1+Parâmetros!E11)*(1+Parâmetros!E12)</f>
        <v>-2901054.395266545</v>
      </c>
      <c r="H34" s="111">
        <f>G34*(1+Parâmetros!F11)*(1+Parâmetros!F12)</f>
        <v>-3101162.687111274</v>
      </c>
      <c r="I34" s="111">
        <f>H34*(1+Parâmetros!G11)*(1+Parâmetros!G12)</f>
        <v>-3310279.2970565013</v>
      </c>
    </row>
    <row r="35" spans="1:9" ht="12.75">
      <c r="A35" s="117"/>
      <c r="B35" s="113"/>
      <c r="C35" s="110">
        <f>Plano!C32</f>
        <v>0</v>
      </c>
      <c r="D35" s="110">
        <f>Plano!D32</f>
        <v>0</v>
      </c>
      <c r="E35" s="110">
        <f>Plano!E32</f>
        <v>0</v>
      </c>
      <c r="F35" s="110">
        <f>Plano!F32</f>
        <v>0</v>
      </c>
      <c r="G35" s="111"/>
      <c r="H35" s="111"/>
      <c r="I35" s="111"/>
    </row>
    <row r="36" spans="1:9" s="25" customFormat="1" ht="25.5" customHeight="1">
      <c r="A36" s="118"/>
      <c r="B36" s="114" t="s">
        <v>78</v>
      </c>
      <c r="C36" s="110">
        <f>Plano!C33</f>
        <v>19084966.304</v>
      </c>
      <c r="D36" s="110">
        <f>Plano!D33</f>
        <v>19872855.829999994</v>
      </c>
      <c r="E36" s="110">
        <f>Plano!E33</f>
        <v>22695509.71</v>
      </c>
      <c r="F36" s="110">
        <f>Plano!F33</f>
        <v>23660068.872674998</v>
      </c>
      <c r="G36" s="110">
        <f>G10+G27+G33+G34</f>
        <v>26023137.154568966</v>
      </c>
      <c r="H36" s="110">
        <f>H10+H27+H33+H34</f>
        <v>29432827.04926652</v>
      </c>
      <c r="I36" s="110">
        <f>I10+I27+I33+I34</f>
        <v>32424222.62381206</v>
      </c>
    </row>
    <row r="37" spans="1:9" ht="12.75">
      <c r="A37" s="180"/>
      <c r="B37" s="180"/>
      <c r="C37" s="181"/>
      <c r="D37" s="181"/>
      <c r="E37" s="181"/>
      <c r="F37" s="181"/>
      <c r="G37" s="181"/>
      <c r="H37" s="181"/>
      <c r="I37" s="181"/>
    </row>
    <row r="38" spans="1:9" ht="13.5" thickBot="1">
      <c r="A38" s="180"/>
      <c r="B38" s="180"/>
      <c r="C38" s="181"/>
      <c r="D38" s="181"/>
      <c r="E38" s="181"/>
      <c r="F38" s="181"/>
      <c r="G38" s="181"/>
      <c r="H38" s="181"/>
      <c r="I38" s="181"/>
    </row>
    <row r="39" spans="1:10" s="1" customFormat="1" ht="16.5" thickTop="1">
      <c r="A39" s="164" t="s">
        <v>0</v>
      </c>
      <c r="B39" s="165" t="s">
        <v>1</v>
      </c>
      <c r="C39" s="166" t="s">
        <v>400</v>
      </c>
      <c r="D39" s="166" t="s">
        <v>400</v>
      </c>
      <c r="E39" s="166" t="s">
        <v>400</v>
      </c>
      <c r="F39" s="167" t="s">
        <v>197</v>
      </c>
      <c r="G39" s="167" t="s">
        <v>18</v>
      </c>
      <c r="H39" s="168" t="s">
        <v>18</v>
      </c>
      <c r="I39" s="169" t="s">
        <v>18</v>
      </c>
      <c r="J39" s="19" t="s">
        <v>18</v>
      </c>
    </row>
    <row r="40" spans="1:10" s="1" customFormat="1" ht="27.75" customHeight="1">
      <c r="A40" s="170"/>
      <c r="B40" s="171" t="s">
        <v>14</v>
      </c>
      <c r="C40" s="172">
        <v>2014</v>
      </c>
      <c r="D40" s="173">
        <f aca="true" t="shared" si="1" ref="D40:I40">C40+1</f>
        <v>2015</v>
      </c>
      <c r="E40" s="173">
        <f t="shared" si="1"/>
        <v>2016</v>
      </c>
      <c r="F40" s="173">
        <f t="shared" si="1"/>
        <v>2017</v>
      </c>
      <c r="G40" s="173">
        <f>F40+1</f>
        <v>2018</v>
      </c>
      <c r="H40" s="173">
        <f t="shared" si="1"/>
        <v>2019</v>
      </c>
      <c r="I40" s="173">
        <f t="shared" si="1"/>
        <v>2020</v>
      </c>
      <c r="J40" s="20">
        <v>2005</v>
      </c>
    </row>
    <row r="41" spans="1:9" s="24" customFormat="1" ht="12.75">
      <c r="A41" s="115" t="s">
        <v>79</v>
      </c>
      <c r="B41" s="109" t="s">
        <v>7</v>
      </c>
      <c r="C41" s="110">
        <f>Plano!C37</f>
        <v>14055685.169999998</v>
      </c>
      <c r="D41" s="110">
        <f>Plano!D37</f>
        <v>14618377.09</v>
      </c>
      <c r="E41" s="110">
        <f>Plano!E37</f>
        <v>17089696.65</v>
      </c>
      <c r="F41" s="110">
        <f>Plano!F37</f>
        <v>17816008.757625</v>
      </c>
      <c r="G41" s="110">
        <f>(G42+G45+G48)</f>
        <v>18895062.354075924</v>
      </c>
      <c r="H41" s="110">
        <f>H42+H45+H48</f>
        <v>20289407.180663064</v>
      </c>
      <c r="I41" s="110">
        <f>I42+I45+I48</f>
        <v>21565849.726151414</v>
      </c>
    </row>
    <row r="42" spans="1:9" s="24" customFormat="1" ht="12.75">
      <c r="A42" s="115" t="s">
        <v>80</v>
      </c>
      <c r="B42" s="109" t="s">
        <v>81</v>
      </c>
      <c r="C42" s="110">
        <f>Plano!C38</f>
        <v>7811035.02</v>
      </c>
      <c r="D42" s="110">
        <f>Plano!D38</f>
        <v>8200331.75</v>
      </c>
      <c r="E42" s="110">
        <f>Plano!E38</f>
        <v>9111402.72</v>
      </c>
      <c r="F42" s="110">
        <f>Plano!F38</f>
        <v>9498637.3356</v>
      </c>
      <c r="G42" s="111">
        <f>G43+G44</f>
        <v>9855011.855141517</v>
      </c>
      <c r="H42" s="111">
        <f>H43+H44</f>
        <v>10461894.95516376</v>
      </c>
      <c r="I42" s="111">
        <f>I43+I44</f>
        <v>10902691.208430657</v>
      </c>
    </row>
    <row r="43" spans="1:9" s="24" customFormat="1" ht="12.75">
      <c r="A43" s="116" t="s">
        <v>80</v>
      </c>
      <c r="B43" s="119" t="s">
        <v>229</v>
      </c>
      <c r="C43" s="110">
        <f>Plano!C39</f>
        <v>6928288.6</v>
      </c>
      <c r="D43" s="110">
        <f>Plano!D39</f>
        <v>7122579.49</v>
      </c>
      <c r="E43" s="110">
        <f>Plano!E39</f>
        <v>7610196.08</v>
      </c>
      <c r="F43" s="110">
        <f>Plano!F39</f>
        <v>7933629.4134</v>
      </c>
      <c r="G43" s="111">
        <f>F43*(1+Parâmetros!E11)*(1+Parâmetros!E13)*(1+Parâmetros!E17)</f>
        <v>8231287.200567455</v>
      </c>
      <c r="H43" s="111">
        <f>G43*(1+Parâmetros!F11)*(1+Parâmetros!F13)*(1+Parâmetros!F17)</f>
        <v>8738179.446551675</v>
      </c>
      <c r="I43" s="111">
        <f>H43*(1+Parâmetros!G11)*(1+Parâmetros!G13)*(1+Parâmetros!G17)</f>
        <v>9106349.532078356</v>
      </c>
    </row>
    <row r="44" spans="1:9" s="24" customFormat="1" ht="12.75">
      <c r="A44" s="116" t="s">
        <v>80</v>
      </c>
      <c r="B44" s="338" t="s">
        <v>382</v>
      </c>
      <c r="C44" s="110">
        <f>Plano!C40</f>
        <v>882746.42</v>
      </c>
      <c r="D44" s="110">
        <f>Plano!D40</f>
        <v>1077752.26</v>
      </c>
      <c r="E44" s="110">
        <f>Plano!E40</f>
        <v>1501206.64</v>
      </c>
      <c r="F44" s="110">
        <f>Plano!F40</f>
        <v>1565007.9222</v>
      </c>
      <c r="G44" s="111">
        <f>F44*(1+Parâmetros!E11)*(1+Parâmetros!E13)*(1+Parâmetros!E17)</f>
        <v>1623724.654574061</v>
      </c>
      <c r="H44" s="111">
        <f>G44*(1+Parâmetros!F11)*(1+Parâmetros!F13)*(1+Parâmetros!F17)</f>
        <v>1723715.5086120851</v>
      </c>
      <c r="I44" s="111">
        <f>H44*(1+Parâmetros!G11)*(1+Parâmetros!G13)*(1+Parâmetros!G17)</f>
        <v>1796341.6763523023</v>
      </c>
    </row>
    <row r="45" spans="1:9" ht="12.75">
      <c r="A45" s="115" t="s">
        <v>82</v>
      </c>
      <c r="B45" s="109" t="s">
        <v>198</v>
      </c>
      <c r="C45" s="110">
        <f>Plano!C41</f>
        <v>20621.21</v>
      </c>
      <c r="D45" s="110">
        <f>Plano!D41</f>
        <v>5219.84</v>
      </c>
      <c r="E45" s="110">
        <f>Plano!E41</f>
        <v>10000</v>
      </c>
      <c r="F45" s="110">
        <f>Plano!F41</f>
        <v>10425</v>
      </c>
      <c r="G45" s="111">
        <f>G46+G47</f>
        <v>12009.2090625</v>
      </c>
      <c r="H45" s="111">
        <f>H46+H47</f>
        <v>13898.089519104375</v>
      </c>
      <c r="I45" s="111">
        <f>I46+I47</f>
        <v>16068.637547840022</v>
      </c>
    </row>
    <row r="46" spans="1:9" ht="12.75">
      <c r="A46" s="116" t="s">
        <v>82</v>
      </c>
      <c r="B46" s="119" t="s">
        <v>83</v>
      </c>
      <c r="C46" s="110">
        <f>Plano!C42</f>
        <v>20621.21</v>
      </c>
      <c r="D46" s="110">
        <f>Plano!D42</f>
        <v>5219.84</v>
      </c>
      <c r="E46" s="110">
        <f>Plano!E42</f>
        <v>10000</v>
      </c>
      <c r="F46" s="110">
        <f>Plano!F42</f>
        <v>10425</v>
      </c>
      <c r="G46" s="111">
        <f>F46*(1+Parâmetros!E11)*(1+Parâmetros!E19)</f>
        <v>12009.2090625</v>
      </c>
      <c r="H46" s="111">
        <f>G46*(1+Parâmetros!F11)*(1+Parâmetros!F19)</f>
        <v>13898.089519104375</v>
      </c>
      <c r="I46" s="111">
        <f>H46*(1+Parâmetros!G11)*(1+Parâmetros!G19)</f>
        <v>16068.637547840022</v>
      </c>
    </row>
    <row r="47" spans="1:9" ht="12.75">
      <c r="A47" s="116" t="s">
        <v>82</v>
      </c>
      <c r="B47" s="338" t="s">
        <v>383</v>
      </c>
      <c r="C47" s="110">
        <f>Plano!C43</f>
        <v>0</v>
      </c>
      <c r="D47" s="110">
        <f>Plano!D43</f>
        <v>0</v>
      </c>
      <c r="E47" s="110">
        <f>Plano!E43</f>
        <v>0</v>
      </c>
      <c r="F47" s="110">
        <f>Plano!F43</f>
        <v>0</v>
      </c>
      <c r="G47" s="111">
        <f>F47*(1+Parâmetros!E11)*(1+Parâmetros!E19)</f>
        <v>0</v>
      </c>
      <c r="H47" s="111">
        <f>G47*(1+Parâmetros!F11)*(1+Parâmetros!F19)</f>
        <v>0</v>
      </c>
      <c r="I47" s="111">
        <f>H47*(1+Parâmetros!G11)*(1+Parâmetros!G19)</f>
        <v>0</v>
      </c>
    </row>
    <row r="48" spans="1:9" s="24" customFormat="1" ht="12.75">
      <c r="A48" s="115" t="s">
        <v>84</v>
      </c>
      <c r="B48" s="109" t="s">
        <v>85</v>
      </c>
      <c r="C48" s="110">
        <f>Plano!C44</f>
        <v>6224028.9399999995</v>
      </c>
      <c r="D48" s="110">
        <f>Plano!D44</f>
        <v>6412825.5</v>
      </c>
      <c r="E48" s="110">
        <f>Plano!E44</f>
        <v>7968293.93</v>
      </c>
      <c r="F48" s="110">
        <f>Plano!F44</f>
        <v>8306946.422025</v>
      </c>
      <c r="G48" s="111">
        <f>G49+G50</f>
        <v>9028041.289871907</v>
      </c>
      <c r="H48" s="111">
        <f>H49+H50</f>
        <v>9813614.1359802</v>
      </c>
      <c r="I48" s="111">
        <f>I49+I50</f>
        <v>10647089.880172916</v>
      </c>
    </row>
    <row r="49" spans="1:9" s="24" customFormat="1" ht="12.75">
      <c r="A49" s="116" t="s">
        <v>84</v>
      </c>
      <c r="B49" s="119" t="s">
        <v>230</v>
      </c>
      <c r="C49" s="110">
        <f>Plano!C45</f>
        <v>6121368.88</v>
      </c>
      <c r="D49" s="110">
        <f>Plano!D45</f>
        <v>6331114.1</v>
      </c>
      <c r="E49" s="110">
        <f>Plano!E45</f>
        <v>7957817.96</v>
      </c>
      <c r="F49" s="110">
        <f>Plano!F45</f>
        <v>8296025.2233</v>
      </c>
      <c r="G49" s="111">
        <f>F49*(1+Parâmetros!E11)*(1+Parâmetros!E14)</f>
        <v>9016172.062840085</v>
      </c>
      <c r="H49" s="111">
        <f>G49*(1+Parâmetros!F11)*(1+Parâmetros!F14)</f>
        <v>9800712.111006819</v>
      </c>
      <c r="I49" s="111">
        <f>H49*(1+Parâmetros!G11)*(1+Parâmetros!G14)</f>
        <v>10633092.078993412</v>
      </c>
    </row>
    <row r="50" spans="1:9" s="24" customFormat="1" ht="12.75">
      <c r="A50" s="116" t="s">
        <v>84</v>
      </c>
      <c r="B50" s="338" t="s">
        <v>384</v>
      </c>
      <c r="C50" s="110">
        <f>Plano!C46</f>
        <v>102660.06</v>
      </c>
      <c r="D50" s="110">
        <f>Plano!D46</f>
        <v>81711.4</v>
      </c>
      <c r="E50" s="110">
        <f>Plano!E46</f>
        <v>10475.97</v>
      </c>
      <c r="F50" s="110">
        <f>Plano!F46</f>
        <v>10921.198725</v>
      </c>
      <c r="G50" s="111">
        <f>F50*(1+Parâmetros!E11)*(1+Parâmetros!E14)</f>
        <v>11869.22703182203</v>
      </c>
      <c r="H50" s="111">
        <f>G50*(1+Parâmetros!F11)*(1+Parâmetros!F14)</f>
        <v>12902.024973381536</v>
      </c>
      <c r="I50" s="111">
        <f>H50*(1+Parâmetros!G11)*(1+Parâmetros!G14)</f>
        <v>13997.801179504819</v>
      </c>
    </row>
    <row r="51" spans="1:9" s="24" customFormat="1" ht="12.75">
      <c r="A51" s="115" t="s">
        <v>86</v>
      </c>
      <c r="B51" s="109" t="s">
        <v>8</v>
      </c>
      <c r="C51" s="110">
        <f>Plano!C47</f>
        <v>2452716.66</v>
      </c>
      <c r="D51" s="110">
        <f>Plano!D47</f>
        <v>1638451.2</v>
      </c>
      <c r="E51" s="110">
        <f>Plano!E47</f>
        <v>1718969.33</v>
      </c>
      <c r="F51" s="110">
        <f>Plano!F47</f>
        <v>1792025.526525</v>
      </c>
      <c r="G51" s="110">
        <f>G52+G55+G58</f>
        <v>1929760.7467858454</v>
      </c>
      <c r="H51" s="110">
        <f>H52+H55+H58</f>
        <v>2080469.1531777028</v>
      </c>
      <c r="I51" s="110">
        <f>I52+I55+I58</f>
        <v>2242236.0908715143</v>
      </c>
    </row>
    <row r="52" spans="1:9" s="24" customFormat="1" ht="12.75">
      <c r="A52" s="115" t="s">
        <v>87</v>
      </c>
      <c r="B52" s="109" t="s">
        <v>9</v>
      </c>
      <c r="C52" s="110">
        <f>Plano!C48</f>
        <v>2134602.25</v>
      </c>
      <c r="D52" s="110">
        <f>Plano!D48</f>
        <v>1350619.53</v>
      </c>
      <c r="E52" s="110">
        <f>Plano!E48</f>
        <v>1547946.78</v>
      </c>
      <c r="F52" s="110">
        <f>Plano!F48</f>
        <v>1613734.5181500001</v>
      </c>
      <c r="G52" s="111">
        <f>G53+G54</f>
        <v>1724376.1910506594</v>
      </c>
      <c r="H52" s="111">
        <f>H53+H54</f>
        <v>1842780.4822091525</v>
      </c>
      <c r="I52" s="111">
        <f>I53+I54</f>
        <v>1967426.1540257796</v>
      </c>
    </row>
    <row r="53" spans="1:9" s="24" customFormat="1" ht="12.75">
      <c r="A53" s="116" t="s">
        <v>87</v>
      </c>
      <c r="B53" s="119" t="s">
        <v>231</v>
      </c>
      <c r="C53" s="110">
        <f>Plano!C49</f>
        <v>2134602.25</v>
      </c>
      <c r="D53" s="110">
        <f>Plano!D49</f>
        <v>1350619.53</v>
      </c>
      <c r="E53" s="110">
        <f>Plano!E49</f>
        <v>1547946.78</v>
      </c>
      <c r="F53" s="110">
        <f>Plano!F49</f>
        <v>1613734.5181500001</v>
      </c>
      <c r="G53" s="111">
        <f>F53*(1+Parâmetros!E11)*(1+Parâmetros!E18)</f>
        <v>1724376.1910506594</v>
      </c>
      <c r="H53" s="111">
        <f>G53*(1+Parâmetros!F11)*(1+Parâmetros!F18)</f>
        <v>1842780.4822091525</v>
      </c>
      <c r="I53" s="111">
        <f>H53*(1+Parâmetros!G11)*(1+Parâmetros!G18)</f>
        <v>1967426.1540257796</v>
      </c>
    </row>
    <row r="54" spans="1:9" s="24" customFormat="1" ht="12.75">
      <c r="A54" s="116" t="s">
        <v>87</v>
      </c>
      <c r="B54" s="338" t="s">
        <v>385</v>
      </c>
      <c r="C54" s="110">
        <f>Plano!C50</f>
        <v>0</v>
      </c>
      <c r="D54" s="110">
        <f>Plano!D50</f>
        <v>0</v>
      </c>
      <c r="E54" s="110">
        <f>Plano!E50</f>
        <v>0</v>
      </c>
      <c r="F54" s="110">
        <f>Plano!F50</f>
        <v>0</v>
      </c>
      <c r="G54" s="111">
        <f>F54*(1+Parâmetros!E11)*(1+Parâmetros!E18)</f>
        <v>0</v>
      </c>
      <c r="H54" s="111">
        <f>G54*(1+Parâmetros!F11)*(1+Parâmetros!F18)</f>
        <v>0</v>
      </c>
      <c r="I54" s="111">
        <f>H54*(1+Parâmetros!G11)*(1+Parâmetros!G18)</f>
        <v>0</v>
      </c>
    </row>
    <row r="55" spans="1:9" s="24" customFormat="1" ht="12.75">
      <c r="A55" s="115" t="s">
        <v>88</v>
      </c>
      <c r="B55" s="109" t="s">
        <v>10</v>
      </c>
      <c r="C55" s="110">
        <f>Plano!C51</f>
        <v>0</v>
      </c>
      <c r="D55" s="110">
        <f>Plano!D51</f>
        <v>0</v>
      </c>
      <c r="E55" s="110">
        <f>Plano!E51</f>
        <v>0</v>
      </c>
      <c r="F55" s="110">
        <f>Plano!F51</f>
        <v>0</v>
      </c>
      <c r="G55" s="110">
        <f>G56+G57</f>
        <v>0</v>
      </c>
      <c r="H55" s="110">
        <f>H56+H57</f>
        <v>0</v>
      </c>
      <c r="I55" s="110">
        <f>I56+I57</f>
        <v>0</v>
      </c>
    </row>
    <row r="56" spans="1:9" ht="12.75">
      <c r="A56" s="115" t="s">
        <v>89</v>
      </c>
      <c r="B56" s="109" t="s">
        <v>90</v>
      </c>
      <c r="C56" s="110">
        <f>Plano!C52</f>
        <v>0</v>
      </c>
      <c r="D56" s="110">
        <f>Plano!D52</f>
        <v>0</v>
      </c>
      <c r="E56" s="110">
        <f>Plano!E52</f>
        <v>0</v>
      </c>
      <c r="F56" s="110">
        <f>Plano!F52</f>
        <v>0</v>
      </c>
      <c r="G56" s="111">
        <f>F56*(1+Parâmetros!E11)*(1+Parâmetros!E12)</f>
        <v>0</v>
      </c>
      <c r="H56" s="111">
        <f>G56*(1+Parâmetros!F11)*(1+Parâmetros!F12)</f>
        <v>0</v>
      </c>
      <c r="I56" s="111">
        <f>H56*(1+Parâmetros!G11)*(1+Parâmetros!G12)</f>
        <v>0</v>
      </c>
    </row>
    <row r="57" spans="1:9" ht="12.75">
      <c r="A57" s="115" t="s">
        <v>190</v>
      </c>
      <c r="B57" s="109" t="s">
        <v>214</v>
      </c>
      <c r="C57" s="110">
        <f>Plano!C53</f>
        <v>0</v>
      </c>
      <c r="D57" s="110">
        <f>Plano!D53</f>
        <v>0</v>
      </c>
      <c r="E57" s="110">
        <f>Plano!E53</f>
        <v>0</v>
      </c>
      <c r="F57" s="110">
        <f>Plano!F53</f>
        <v>0</v>
      </c>
      <c r="G57" s="111">
        <f>F57*(1+Parâmetros!E11)*(1+Parâmetros!E12)</f>
        <v>0</v>
      </c>
      <c r="H57" s="111">
        <f>G57*(1+Parâmetros!F11)*(1+Parâmetros!F12)</f>
        <v>0</v>
      </c>
      <c r="I57" s="111">
        <f>H57*(1+Parâmetros!G11)*(1+Parâmetros!G12)</f>
        <v>0</v>
      </c>
    </row>
    <row r="58" spans="1:9" s="24" customFormat="1" ht="12.75">
      <c r="A58" s="115" t="s">
        <v>91</v>
      </c>
      <c r="B58" s="109" t="s">
        <v>92</v>
      </c>
      <c r="C58" s="110">
        <f>Plano!C54</f>
        <v>318114.41</v>
      </c>
      <c r="D58" s="110">
        <f>Plano!D54</f>
        <v>287831.67</v>
      </c>
      <c r="E58" s="110">
        <f>Plano!E54</f>
        <v>171022.55</v>
      </c>
      <c r="F58" s="110">
        <f>Plano!F54</f>
        <v>178291.00837499998</v>
      </c>
      <c r="G58" s="111">
        <f>F58*(1+Parâmetros!E11)*(1+Parâmetros!E19)</f>
        <v>205384.5557351859</v>
      </c>
      <c r="H58" s="111">
        <f>G58*(1+Parâmetros!F11)*(1+Parâmetros!F19)</f>
        <v>237688.67096855034</v>
      </c>
      <c r="I58" s="111">
        <f>H58*(1+Parâmetros!G11)*(1+Parâmetros!G19)</f>
        <v>274809.9368457347</v>
      </c>
    </row>
    <row r="59" spans="1:9" s="24" customFormat="1" ht="12.75">
      <c r="A59" s="115" t="s">
        <v>349</v>
      </c>
      <c r="B59" s="109" t="s">
        <v>200</v>
      </c>
      <c r="C59" s="110"/>
      <c r="D59" s="110"/>
      <c r="E59" s="110"/>
      <c r="F59" s="110">
        <f>Plano!F56</f>
        <v>1410722.1338999998</v>
      </c>
      <c r="G59" s="111">
        <f>G36-G41-G51-G60</f>
        <v>2351807.2796083344</v>
      </c>
      <c r="H59" s="111">
        <f>H36-H41-H51-H60</f>
        <v>4024138.8710610373</v>
      </c>
      <c r="I59" s="111">
        <f>I36-I41-I51-I60</f>
        <v>5338274.296401234</v>
      </c>
    </row>
    <row r="60" spans="1:9" ht="12.75">
      <c r="A60" s="115" t="s">
        <v>350</v>
      </c>
      <c r="B60" s="338" t="s">
        <v>232</v>
      </c>
      <c r="C60" s="110"/>
      <c r="D60" s="110"/>
      <c r="E60" s="110"/>
      <c r="F60" s="110">
        <f>Plano!F57</f>
        <v>2641312.4546249993</v>
      </c>
      <c r="G60" s="111">
        <f>(G14+G18+G26+G33)-(G44+G47+G50+G54)</f>
        <v>2846506.774098863</v>
      </c>
      <c r="H60" s="111">
        <f>(H14+H18+H26+H33)-(H44+H47+H50+H54)</f>
        <v>3038811.8443647167</v>
      </c>
      <c r="I60" s="111">
        <f>(I14+I18+I26+I33)-(I44+I47+I50+I54)</f>
        <v>3277862.510387897</v>
      </c>
    </row>
    <row r="61" spans="1:9" s="25" customFormat="1" ht="29.25" customHeight="1" thickBot="1">
      <c r="A61" s="118"/>
      <c r="B61" s="114" t="s">
        <v>93</v>
      </c>
      <c r="C61" s="110">
        <f>Plano!C59</f>
        <v>16508401.829999998</v>
      </c>
      <c r="D61" s="110">
        <f>Plano!D59</f>
        <v>16256828.29</v>
      </c>
      <c r="E61" s="110">
        <f>Plano!E59</f>
        <v>18808665.979999997</v>
      </c>
      <c r="F61" s="110">
        <f>Plano!F59</f>
        <v>23660068.872674998</v>
      </c>
      <c r="G61" s="110">
        <f>G41+G51+G59+G60</f>
        <v>26023137.154568966</v>
      </c>
      <c r="H61" s="110">
        <f>H41+H51+H59+H60</f>
        <v>29432827.04926652</v>
      </c>
      <c r="I61" s="110">
        <f>I41+I51+I59+I60</f>
        <v>32424222.623812057</v>
      </c>
    </row>
    <row r="62" spans="1:10" s="1" customFormat="1" ht="17.25" customHeight="1" hidden="1">
      <c r="A62" s="73">
        <v>50000002</v>
      </c>
      <c r="B62" s="74" t="s">
        <v>40</v>
      </c>
      <c r="C62" s="75"/>
      <c r="D62" s="76"/>
      <c r="E62" s="76"/>
      <c r="F62" s="76"/>
      <c r="G62" s="76"/>
      <c r="H62" s="76"/>
      <c r="I62" s="76"/>
      <c r="J62" s="10"/>
    </row>
    <row r="63" spans="1:10" s="1" customFormat="1" ht="17.25" customHeight="1" hidden="1">
      <c r="A63" s="77"/>
      <c r="B63" s="78" t="s">
        <v>13</v>
      </c>
      <c r="C63" s="79" t="s">
        <v>15</v>
      </c>
      <c r="D63" s="79" t="e">
        <f>IF(#REF!&gt;0,"REALIZADO","PROJETADO")</f>
        <v>#REF!</v>
      </c>
      <c r="E63" s="79" t="e">
        <f>IF(#REF!&gt;0,"REALIZADO","PROJETADO")</f>
        <v>#REF!</v>
      </c>
      <c r="F63" s="79" t="e">
        <f>IF(#REF!&gt;0,"REALIZADO","PROJETADO")</f>
        <v>#REF!</v>
      </c>
      <c r="G63" s="79" t="s">
        <v>18</v>
      </c>
      <c r="H63" s="79"/>
      <c r="I63" s="79" t="s">
        <v>18</v>
      </c>
      <c r="J63" s="11" t="s">
        <v>18</v>
      </c>
    </row>
    <row r="64" spans="1:10" s="1" customFormat="1" ht="17.25" customHeight="1" hidden="1">
      <c r="A64" s="77"/>
      <c r="B64" s="80" t="s">
        <v>12</v>
      </c>
      <c r="C64" s="72">
        <v>1999</v>
      </c>
      <c r="D64" s="72">
        <v>2000</v>
      </c>
      <c r="E64" s="72">
        <v>2001</v>
      </c>
      <c r="F64" s="72">
        <v>2002</v>
      </c>
      <c r="G64" s="72">
        <v>2003</v>
      </c>
      <c r="H64" s="72"/>
      <c r="I64" s="72">
        <v>2004</v>
      </c>
      <c r="J64" s="9">
        <v>2005</v>
      </c>
    </row>
    <row r="65" spans="1:10" s="1" customFormat="1" ht="17.25" customHeight="1" hidden="1">
      <c r="A65" s="77"/>
      <c r="B65" s="81"/>
      <c r="C65" s="82"/>
      <c r="D65" s="82"/>
      <c r="E65" s="82"/>
      <c r="F65" s="82"/>
      <c r="G65" s="82"/>
      <c r="H65" s="82"/>
      <c r="I65" s="82"/>
      <c r="J65" s="12"/>
    </row>
    <row r="66" spans="1:10" s="1" customFormat="1" ht="16.5" hidden="1" thickBot="1">
      <c r="A66" s="77"/>
      <c r="B66" s="81" t="s">
        <v>20</v>
      </c>
      <c r="C66" s="83" t="e">
        <f>C9-#REF!-C15+C70-#REF!</f>
        <v>#REF!</v>
      </c>
      <c r="D66" s="83" t="e">
        <f>D9-#REF!-D15+D70-#REF!</f>
        <v>#REF!</v>
      </c>
      <c r="E66" s="83" t="e">
        <f>E9-#REF!-E15+E70-#REF!</f>
        <v>#REF!</v>
      </c>
      <c r="F66" s="83" t="e">
        <f>F9-#REF!-F15+F70-#REF!</f>
        <v>#REF!</v>
      </c>
      <c r="G66" s="83" t="e">
        <f>G9-#REF!-G15+G70-#REF!</f>
        <v>#REF!</v>
      </c>
      <c r="H66" s="83"/>
      <c r="I66" s="83" t="e">
        <f>I9-#REF!-I15+I70-#REF!</f>
        <v>#REF!</v>
      </c>
      <c r="J66" s="17" t="e">
        <f>J9-#REF!-J15+J70</f>
        <v>#REF!</v>
      </c>
    </row>
    <row r="67" spans="1:10" s="1" customFormat="1" ht="16.5" hidden="1" thickBot="1">
      <c r="A67" s="77"/>
      <c r="B67" s="81" t="s">
        <v>21</v>
      </c>
      <c r="C67" s="83">
        <f>C10</f>
        <v>19631069.684</v>
      </c>
      <c r="D67" s="83">
        <f aca="true" t="shared" si="2" ref="D67:J67">D10</f>
        <v>20517989.429999996</v>
      </c>
      <c r="E67" s="83">
        <f t="shared" si="2"/>
        <v>24316041.34</v>
      </c>
      <c r="F67" s="83">
        <f t="shared" si="2"/>
        <v>25349473.09695</v>
      </c>
      <c r="G67" s="83">
        <f t="shared" si="2"/>
        <v>27812032.19940368</v>
      </c>
      <c r="H67" s="83"/>
      <c r="I67" s="83">
        <f t="shared" si="2"/>
        <v>34438981.10508963</v>
      </c>
      <c r="J67" s="17">
        <f t="shared" si="2"/>
        <v>0</v>
      </c>
    </row>
    <row r="68" spans="1:10" s="1" customFormat="1" ht="16.5" hidden="1" thickBot="1">
      <c r="A68" s="77"/>
      <c r="B68" s="81" t="s">
        <v>22</v>
      </c>
      <c r="C68" s="83" t="e">
        <f>C20+C21+C23+#REF!+#REF!+#REF!+#REF!</f>
        <v>#REF!</v>
      </c>
      <c r="D68" s="83" t="e">
        <f>D20+D21+D23+#REF!+#REF!+#REF!+#REF!</f>
        <v>#REF!</v>
      </c>
      <c r="E68" s="83" t="e">
        <f>E20+E21+E23+#REF!+#REF!+#REF!+#REF!</f>
        <v>#REF!</v>
      </c>
      <c r="F68" s="83" t="e">
        <f>F20+F21+F23+#REF!+#REF!+#REF!+#REF!</f>
        <v>#REF!</v>
      </c>
      <c r="G68" s="83" t="e">
        <f>G20+G21+G23+#REF!+#REF!+#REF!+#REF!</f>
        <v>#REF!</v>
      </c>
      <c r="H68" s="83"/>
      <c r="I68" s="83" t="e">
        <f>I20+I21+I23+#REF!+#REF!+#REF!+#REF!</f>
        <v>#REF!</v>
      </c>
      <c r="J68" s="17" t="e">
        <f>J20+J21+J23+#REF!+#REF!+#REF!+#REF!</f>
        <v>#REF!</v>
      </c>
    </row>
    <row r="69" spans="1:10" s="1" customFormat="1" ht="16.5" hidden="1" thickBot="1">
      <c r="A69" s="77"/>
      <c r="B69" s="81" t="s">
        <v>23</v>
      </c>
      <c r="C69" s="83" t="e">
        <f>#REF!</f>
        <v>#REF!</v>
      </c>
      <c r="D69" s="83" t="e">
        <f>#REF!</f>
        <v>#REF!</v>
      </c>
      <c r="E69" s="83" t="e">
        <f>#REF!</f>
        <v>#REF!</v>
      </c>
      <c r="F69" s="83" t="e">
        <f>#REF!</f>
        <v>#REF!</v>
      </c>
      <c r="G69" s="83" t="e">
        <f>#REF!</f>
        <v>#REF!</v>
      </c>
      <c r="H69" s="83"/>
      <c r="I69" s="83" t="e">
        <f>#REF!</f>
        <v>#REF!</v>
      </c>
      <c r="J69" s="17" t="e">
        <f>#REF!</f>
        <v>#REF!</v>
      </c>
    </row>
    <row r="70" spans="1:10" s="1" customFormat="1" ht="16.5" hidden="1" thickBot="1">
      <c r="A70" s="77"/>
      <c r="B70" s="81" t="s">
        <v>24</v>
      </c>
      <c r="C70" s="83" t="e">
        <f>#REF!-#REF!</f>
        <v>#REF!</v>
      </c>
      <c r="D70" s="83" t="e">
        <f>#REF!-#REF!</f>
        <v>#REF!</v>
      </c>
      <c r="E70" s="83" t="e">
        <f>#REF!-#REF!</f>
        <v>#REF!</v>
      </c>
      <c r="F70" s="83" t="e">
        <f>#REF!-#REF!</f>
        <v>#REF!</v>
      </c>
      <c r="G70" s="83" t="e">
        <f>#REF!-#REF!</f>
        <v>#REF!</v>
      </c>
      <c r="H70" s="83"/>
      <c r="I70" s="83" t="e">
        <f>#REF!-#REF!</f>
        <v>#REF!</v>
      </c>
      <c r="J70" s="17" t="e">
        <f>#REF!-#REF!</f>
        <v>#REF!</v>
      </c>
    </row>
    <row r="71" spans="1:10" s="1" customFormat="1" ht="16.5" hidden="1" thickBot="1">
      <c r="A71" s="77"/>
      <c r="B71" s="81" t="s">
        <v>25</v>
      </c>
      <c r="C71" s="83" t="e">
        <f>#REF!</f>
        <v>#REF!</v>
      </c>
      <c r="D71" s="83" t="e">
        <f>#REF!</f>
        <v>#REF!</v>
      </c>
      <c r="E71" s="83" t="e">
        <f>#REF!</f>
        <v>#REF!</v>
      </c>
      <c r="F71" s="83" t="e">
        <f>#REF!</f>
        <v>#REF!</v>
      </c>
      <c r="G71" s="83" t="e">
        <f>#REF!</f>
        <v>#REF!</v>
      </c>
      <c r="H71" s="83"/>
      <c r="I71" s="83" t="e">
        <f>#REF!</f>
        <v>#REF!</v>
      </c>
      <c r="J71" s="17" t="e">
        <f>#REF!</f>
        <v>#REF!</v>
      </c>
    </row>
    <row r="72" spans="1:10" s="1" customFormat="1" ht="16.5" hidden="1" thickBot="1">
      <c r="A72" s="77"/>
      <c r="B72" s="81" t="s">
        <v>26</v>
      </c>
      <c r="C72" s="83" t="e">
        <f>#REF!</f>
        <v>#REF!</v>
      </c>
      <c r="D72" s="83" t="e">
        <f>#REF!</f>
        <v>#REF!</v>
      </c>
      <c r="E72" s="83" t="e">
        <f>#REF!</f>
        <v>#REF!</v>
      </c>
      <c r="F72" s="83" t="e">
        <f>#REF!</f>
        <v>#REF!</v>
      </c>
      <c r="G72" s="83" t="e">
        <f>#REF!</f>
        <v>#REF!</v>
      </c>
      <c r="H72" s="83"/>
      <c r="I72" s="83" t="e">
        <f>#REF!</f>
        <v>#REF!</v>
      </c>
      <c r="J72" s="17" t="e">
        <f>#REF!</f>
        <v>#REF!</v>
      </c>
    </row>
    <row r="73" spans="1:10" s="1" customFormat="1" ht="16.5" hidden="1" thickBot="1">
      <c r="A73" s="77"/>
      <c r="B73" s="81" t="s">
        <v>27</v>
      </c>
      <c r="C73" s="83" t="e">
        <f>#REF!</f>
        <v>#REF!</v>
      </c>
      <c r="D73" s="83" t="e">
        <f>#REF!</f>
        <v>#REF!</v>
      </c>
      <c r="E73" s="83" t="e">
        <f>#REF!</f>
        <v>#REF!</v>
      </c>
      <c r="F73" s="83" t="e">
        <f>#REF!</f>
        <v>#REF!</v>
      </c>
      <c r="G73" s="83" t="e">
        <f>#REF!</f>
        <v>#REF!</v>
      </c>
      <c r="H73" s="83"/>
      <c r="I73" s="83" t="e">
        <f>#REF!</f>
        <v>#REF!</v>
      </c>
      <c r="J73" s="17" t="e">
        <f>#REF!</f>
        <v>#REF!</v>
      </c>
    </row>
    <row r="74" spans="1:10" s="1" customFormat="1" ht="16.5" hidden="1" thickBot="1">
      <c r="A74" s="77"/>
      <c r="B74" s="81" t="s">
        <v>28</v>
      </c>
      <c r="C74" s="83">
        <f>C31</f>
        <v>1308236.94</v>
      </c>
      <c r="D74" s="83">
        <f aca="true" t="shared" si="3" ref="D74:J74">D31</f>
        <v>1032046</v>
      </c>
      <c r="E74" s="83">
        <f t="shared" si="3"/>
        <v>522791.57</v>
      </c>
      <c r="F74" s="83">
        <f t="shared" si="3"/>
        <v>545010.2117250001</v>
      </c>
      <c r="G74" s="83">
        <f t="shared" si="3"/>
        <v>580502.5029855084</v>
      </c>
      <c r="H74" s="83"/>
      <c r="I74" s="83">
        <f t="shared" si="3"/>
        <v>662388.6200333904</v>
      </c>
      <c r="J74" s="17">
        <f t="shared" si="3"/>
        <v>0</v>
      </c>
    </row>
    <row r="75" spans="1:10" s="1" customFormat="1" ht="16.5" hidden="1" thickBot="1">
      <c r="A75" s="77"/>
      <c r="B75" s="81" t="s">
        <v>29</v>
      </c>
      <c r="C75" s="83" t="e">
        <f>#REF!+#REF!+C56+C57+C58+#REF!+C60+C61+C45+#REF!</f>
        <v>#REF!</v>
      </c>
      <c r="D75" s="83" t="e">
        <f>#REF!+#REF!+D56+D57+D58+#REF!+D60+D61+D45+#REF!</f>
        <v>#REF!</v>
      </c>
      <c r="E75" s="83" t="e">
        <f>#REF!+#REF!+E56+E57+E58+#REF!+E60+E61+E45+#REF!</f>
        <v>#REF!</v>
      </c>
      <c r="F75" s="83" t="e">
        <f>#REF!+#REF!+F56+F57+F58+#REF!+F60+F61+F45+#REF!</f>
        <v>#REF!</v>
      </c>
      <c r="G75" s="83" t="e">
        <f>#REF!+#REF!+G56+G57+G58+#REF!+G60+G61+G45+#REF!</f>
        <v>#REF!</v>
      </c>
      <c r="H75" s="83"/>
      <c r="I75" s="83" t="e">
        <f>#REF!+#REF!+I56+I57+I58+#REF!+I60+I61+I45+#REF!</f>
        <v>#REF!</v>
      </c>
      <c r="J75" s="17" t="e">
        <f>#REF!+#REF!+J56+J57+J58+#REF!+J60+J61</f>
        <v>#REF!</v>
      </c>
    </row>
    <row r="76" spans="1:10" s="1" customFormat="1" ht="16.5" hidden="1" thickBot="1">
      <c r="A76" s="77"/>
      <c r="B76" s="81" t="s">
        <v>30</v>
      </c>
      <c r="C76" s="83" t="e">
        <f>#REF!+#REF!</f>
        <v>#REF!</v>
      </c>
      <c r="D76" s="83" t="e">
        <f>#REF!+#REF!</f>
        <v>#REF!</v>
      </c>
      <c r="E76" s="83" t="e">
        <f>#REF!+#REF!</f>
        <v>#REF!</v>
      </c>
      <c r="F76" s="83" t="e">
        <f>#REF!+#REF!</f>
        <v>#REF!</v>
      </c>
      <c r="G76" s="83" t="e">
        <f>#REF!+#REF!</f>
        <v>#REF!</v>
      </c>
      <c r="H76" s="83"/>
      <c r="I76" s="83" t="e">
        <f>#REF!+#REF!</f>
        <v>#REF!</v>
      </c>
      <c r="J76" s="17" t="e">
        <f>#REF!+#REF!</f>
        <v>#REF!</v>
      </c>
    </row>
    <row r="77" spans="1:10" s="1" customFormat="1" ht="16.5" hidden="1" thickBot="1">
      <c r="A77" s="77"/>
      <c r="B77" s="81" t="s">
        <v>31</v>
      </c>
      <c r="C77" s="83">
        <f>C52+C55</f>
        <v>2134602.25</v>
      </c>
      <c r="D77" s="83">
        <f>D52+D55</f>
        <v>1350619.53</v>
      </c>
      <c r="E77" s="83">
        <f>E52+E55</f>
        <v>1547946.78</v>
      </c>
      <c r="F77" s="83">
        <f>F52+F55</f>
        <v>1613734.5181500001</v>
      </c>
      <c r="G77" s="83">
        <f>G52+G55</f>
        <v>1724376.1910506594</v>
      </c>
      <c r="H77" s="83"/>
      <c r="I77" s="83">
        <f>I52+I55</f>
        <v>1967426.1540257796</v>
      </c>
      <c r="J77" s="17">
        <f>J52+J55</f>
        <v>0</v>
      </c>
    </row>
    <row r="78" spans="1:10" s="1" customFormat="1" ht="16.5" hidden="1" thickBot="1">
      <c r="A78" s="77"/>
      <c r="B78" s="81" t="s">
        <v>32</v>
      </c>
      <c r="C78" s="83" t="e">
        <f>#REF!</f>
        <v>#REF!</v>
      </c>
      <c r="D78" s="83" t="e">
        <f>#REF!</f>
        <v>#REF!</v>
      </c>
      <c r="E78" s="83" t="e">
        <f>#REF!</f>
        <v>#REF!</v>
      </c>
      <c r="F78" s="83" t="e">
        <f>#REF!</f>
        <v>#REF!</v>
      </c>
      <c r="G78" s="83" t="e">
        <f>#REF!</f>
        <v>#REF!</v>
      </c>
      <c r="H78" s="83"/>
      <c r="I78" s="83" t="e">
        <f>#REF!</f>
        <v>#REF!</v>
      </c>
      <c r="J78" s="17" t="e">
        <f>#REF!</f>
        <v>#REF!</v>
      </c>
    </row>
    <row r="79" spans="1:10" s="1" customFormat="1" ht="16.5" hidden="1" thickBot="1">
      <c r="A79" s="77"/>
      <c r="B79" s="81" t="s">
        <v>33</v>
      </c>
      <c r="C79" s="83" t="e">
        <f>C48+#REF!+#REF!+#REF!+#REF!+#REF!+#REF!</f>
        <v>#REF!</v>
      </c>
      <c r="D79" s="83" t="e">
        <f>D48+#REF!+#REF!+#REF!+#REF!+#REF!+#REF!</f>
        <v>#REF!</v>
      </c>
      <c r="E79" s="83" t="e">
        <f>E48+#REF!+#REF!+#REF!+#REF!+#REF!+#REF!</f>
        <v>#REF!</v>
      </c>
      <c r="F79" s="83" t="e">
        <f>F48+#REF!+#REF!+#REF!+#REF!+#REF!+#REF!</f>
        <v>#REF!</v>
      </c>
      <c r="G79" s="83" t="e">
        <f>G48+#REF!+#REF!+#REF!+#REF!+#REF!+#REF!</f>
        <v>#REF!</v>
      </c>
      <c r="H79" s="83"/>
      <c r="I79" s="83" t="e">
        <f>I48+#REF!+#REF!+#REF!+#REF!+#REF!+#REF!</f>
        <v>#REF!</v>
      </c>
      <c r="J79" s="17" t="e">
        <f>J48+#REF!+#REF!+#REF!+#REF!+#REF!+#REF!</f>
        <v>#REF!</v>
      </c>
    </row>
    <row r="80" spans="1:10" s="1" customFormat="1" ht="16.5" hidden="1" thickBot="1">
      <c r="A80" s="77"/>
      <c r="B80" s="81" t="s">
        <v>39</v>
      </c>
      <c r="C80" s="83" t="e">
        <f>#REF!</f>
        <v>#REF!</v>
      </c>
      <c r="D80" s="83" t="e">
        <f>#REF!</f>
        <v>#REF!</v>
      </c>
      <c r="E80" s="83" t="e">
        <f>#REF!</f>
        <v>#REF!</v>
      </c>
      <c r="F80" s="83" t="e">
        <f>#REF!</f>
        <v>#REF!</v>
      </c>
      <c r="G80" s="83" t="e">
        <f>#REF!</f>
        <v>#REF!</v>
      </c>
      <c r="H80" s="83"/>
      <c r="I80" s="83" t="e">
        <f>#REF!</f>
        <v>#REF!</v>
      </c>
      <c r="J80" s="17" t="e">
        <f>#REF!</f>
        <v>#REF!</v>
      </c>
    </row>
    <row r="81" spans="1:10" s="1" customFormat="1" ht="16.5" hidden="1" thickBot="1">
      <c r="A81" s="77"/>
      <c r="B81" s="81" t="s">
        <v>34</v>
      </c>
      <c r="C81" s="83" t="e">
        <f>#REF!+#REF!</f>
        <v>#REF!</v>
      </c>
      <c r="D81" s="83" t="e">
        <f>#REF!+#REF!</f>
        <v>#REF!</v>
      </c>
      <c r="E81" s="83" t="e">
        <f>#REF!+#REF!</f>
        <v>#REF!</v>
      </c>
      <c r="F81" s="83" t="e">
        <f>#REF!+#REF!</f>
        <v>#REF!</v>
      </c>
      <c r="G81" s="83" t="e">
        <f>#REF!+#REF!</f>
        <v>#REF!</v>
      </c>
      <c r="H81" s="83"/>
      <c r="I81" s="83" t="e">
        <f>#REF!+#REF!</f>
        <v>#REF!</v>
      </c>
      <c r="J81" s="17" t="e">
        <f>#REF!+#REF!</f>
        <v>#REF!</v>
      </c>
    </row>
    <row r="82" spans="1:10" s="1" customFormat="1" ht="16.5" hidden="1" thickBot="1">
      <c r="A82" s="77"/>
      <c r="B82" s="81" t="s">
        <v>35</v>
      </c>
      <c r="C82" s="83" t="e">
        <f>#REF!+#REF!</f>
        <v>#REF!</v>
      </c>
      <c r="D82" s="83" t="e">
        <f>#REF!+#REF!</f>
        <v>#REF!</v>
      </c>
      <c r="E82" s="83" t="e">
        <f>#REF!+#REF!</f>
        <v>#REF!</v>
      </c>
      <c r="F82" s="83" t="e">
        <f>#REF!+#REF!</f>
        <v>#REF!</v>
      </c>
      <c r="G82" s="83" t="e">
        <f>#REF!+#REF!</f>
        <v>#REF!</v>
      </c>
      <c r="H82" s="83"/>
      <c r="I82" s="83" t="e">
        <f>#REF!+#REF!</f>
        <v>#REF!</v>
      </c>
      <c r="J82" s="17" t="e">
        <f>#REF!+#REF!</f>
        <v>#REF!</v>
      </c>
    </row>
    <row r="83" spans="1:10" s="1" customFormat="1" ht="16.5" hidden="1" thickBot="1">
      <c r="A83" s="77"/>
      <c r="B83" s="81" t="s">
        <v>36</v>
      </c>
      <c r="C83" s="83" t="e">
        <f>C81+C82</f>
        <v>#REF!</v>
      </c>
      <c r="D83" s="83" t="e">
        <f aca="true" t="shared" si="4" ref="D83:J83">D81+D82</f>
        <v>#REF!</v>
      </c>
      <c r="E83" s="83" t="e">
        <f t="shared" si="4"/>
        <v>#REF!</v>
      </c>
      <c r="F83" s="83" t="e">
        <f t="shared" si="4"/>
        <v>#REF!</v>
      </c>
      <c r="G83" s="83" t="e">
        <f t="shared" si="4"/>
        <v>#REF!</v>
      </c>
      <c r="H83" s="83"/>
      <c r="I83" s="83" t="e">
        <f t="shared" si="4"/>
        <v>#REF!</v>
      </c>
      <c r="J83" s="17" t="e">
        <f t="shared" si="4"/>
        <v>#REF!</v>
      </c>
    </row>
    <row r="84" spans="1:10" s="1" customFormat="1" ht="16.5" hidden="1" thickBot="1">
      <c r="A84" s="77"/>
      <c r="B84" s="81" t="s">
        <v>37</v>
      </c>
      <c r="C84" s="83" t="e">
        <f>((C9+C29)-(C68)-((#REF!+#REF!)-C83))</f>
        <v>#REF!</v>
      </c>
      <c r="D84" s="83" t="e">
        <f>((D9+D29)-(D68)-((#REF!+#REF!)-D83))</f>
        <v>#REF!</v>
      </c>
      <c r="E84" s="83" t="e">
        <f>((E9+E29)-(E68)-((#REF!+#REF!)-E83))</f>
        <v>#REF!</v>
      </c>
      <c r="F84" s="83" t="e">
        <f>((F9+F29)-(F68)-((#REF!+#REF!)-F83))</f>
        <v>#REF!</v>
      </c>
      <c r="G84" s="83" t="e">
        <f>((G9+G29)-(G68)-((#REF!+#REF!)-G83))</f>
        <v>#REF!</v>
      </c>
      <c r="H84" s="83"/>
      <c r="I84" s="83" t="e">
        <f>((I9+I29)-(I68)-((#REF!+#REF!)-I83))</f>
        <v>#REF!</v>
      </c>
      <c r="J84" s="17" t="e">
        <f>((J9+J29)-(J68)-((#REF!+#REF!)-J83))</f>
        <v>#REF!</v>
      </c>
    </row>
    <row r="85" spans="1:10" s="1" customFormat="1" ht="16.5" hidden="1" thickBot="1">
      <c r="A85" s="77"/>
      <c r="B85" s="84" t="s">
        <v>38</v>
      </c>
      <c r="C85" s="85" t="e">
        <f>-(C84-(C81-C20-C21-C23-#REF!))</f>
        <v>#REF!</v>
      </c>
      <c r="D85" s="85" t="e">
        <f>-(D84-(D81-D20-D21-D23-#REF!))</f>
        <v>#REF!</v>
      </c>
      <c r="E85" s="85" t="e">
        <f>-(E84-(E81-E20-E21-E23-#REF!))</f>
        <v>#REF!</v>
      </c>
      <c r="F85" s="85" t="e">
        <f>-(F84-(F81-F20-F21-F23-#REF!))</f>
        <v>#REF!</v>
      </c>
      <c r="G85" s="85" t="e">
        <f>-(G84-(G81-G20-G21-G23-#REF!))</f>
        <v>#REF!</v>
      </c>
      <c r="H85" s="85"/>
      <c r="I85" s="85" t="e">
        <f>-(I84-(I81-I20-I21-I23-#REF!))</f>
        <v>#REF!</v>
      </c>
      <c r="J85" s="18" t="e">
        <f>J84-J81</f>
        <v>#REF!</v>
      </c>
    </row>
    <row r="86" spans="1:10" s="1" customFormat="1" ht="16.5" thickTop="1">
      <c r="A86" s="77"/>
      <c r="B86" s="86"/>
      <c r="C86" s="86"/>
      <c r="D86" s="86"/>
      <c r="E86" s="86"/>
      <c r="F86" s="86"/>
      <c r="G86" s="86"/>
      <c r="H86" s="86"/>
      <c r="I86" s="86"/>
      <c r="J86" s="13"/>
    </row>
    <row r="87" spans="1:10" s="1" customFormat="1" ht="15.75">
      <c r="A87" s="77" t="s">
        <v>404</v>
      </c>
      <c r="J87" s="14"/>
    </row>
    <row r="88" spans="1:10" s="1" customFormat="1" ht="15.75">
      <c r="A88" s="359" t="s">
        <v>402</v>
      </c>
      <c r="B88" s="360"/>
      <c r="C88" s="360"/>
      <c r="D88" s="360"/>
      <c r="E88" s="360"/>
      <c r="F88" s="360"/>
      <c r="G88" s="360"/>
      <c r="H88" s="360"/>
      <c r="I88" s="360"/>
      <c r="J88" s="14"/>
    </row>
    <row r="89" spans="1:10" s="1" customFormat="1" ht="15.75">
      <c r="A89" s="411" t="s">
        <v>403</v>
      </c>
      <c r="B89" s="411"/>
      <c r="C89" s="411"/>
      <c r="D89" s="411"/>
      <c r="E89" s="411"/>
      <c r="F89" s="411"/>
      <c r="G89" s="411"/>
      <c r="H89" s="411"/>
      <c r="I89" s="411"/>
      <c r="J89" s="14"/>
    </row>
    <row r="90" s="1" customFormat="1" ht="15.75">
      <c r="J90" s="14"/>
    </row>
    <row r="91" spans="2:10" s="1" customFormat="1" ht="15.75">
      <c r="B91" s="2"/>
      <c r="C91" s="14"/>
      <c r="D91" s="14"/>
      <c r="E91" s="14"/>
      <c r="F91" s="14"/>
      <c r="G91" s="14"/>
      <c r="H91" s="14"/>
      <c r="I91" s="14"/>
      <c r="J91" s="14"/>
    </row>
    <row r="92" spans="2:10" s="1" customFormat="1" ht="15.75">
      <c r="B92" s="14"/>
      <c r="C92" s="14"/>
      <c r="D92" s="14"/>
      <c r="E92" s="14"/>
      <c r="F92" s="14"/>
      <c r="G92" s="14"/>
      <c r="H92" s="14"/>
      <c r="I92" s="14"/>
      <c r="J92" s="14"/>
    </row>
    <row r="93" spans="2:10" s="1" customFormat="1" ht="15.75">
      <c r="B93" s="14"/>
      <c r="C93" s="14"/>
      <c r="D93" s="14"/>
      <c r="E93" s="14"/>
      <c r="F93" s="14"/>
      <c r="G93" s="14"/>
      <c r="H93" s="14"/>
      <c r="I93" s="14"/>
      <c r="J93" s="14"/>
    </row>
    <row r="94" spans="2:10" s="1" customFormat="1" ht="15.75">
      <c r="B94" s="14"/>
      <c r="C94" s="14"/>
      <c r="D94" s="14"/>
      <c r="E94" s="14"/>
      <c r="F94" s="14"/>
      <c r="G94" s="14"/>
      <c r="H94" s="14"/>
      <c r="I94" s="14"/>
      <c r="J94" s="14"/>
    </row>
    <row r="95" spans="2:10" s="1" customFormat="1" ht="15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s="1" customFormat="1" ht="15.75">
      <c r="B96" s="14"/>
      <c r="C96" s="14"/>
      <c r="D96" s="14"/>
      <c r="E96" s="14"/>
      <c r="F96" s="14"/>
      <c r="G96" s="14"/>
      <c r="H96" s="14"/>
      <c r="I96" s="14"/>
      <c r="J96" s="14"/>
    </row>
    <row r="97" spans="2:10" s="1" customFormat="1" ht="15.75">
      <c r="B97" s="14"/>
      <c r="C97" s="14"/>
      <c r="D97" s="14"/>
      <c r="E97" s="14"/>
      <c r="F97" s="14"/>
      <c r="G97" s="14"/>
      <c r="H97" s="14"/>
      <c r="I97" s="14"/>
      <c r="J97" s="14"/>
    </row>
    <row r="98" spans="2:10" s="1" customFormat="1" ht="18.75" customHeight="1">
      <c r="B98" s="14"/>
      <c r="C98" s="14"/>
      <c r="D98" s="14"/>
      <c r="E98" s="14"/>
      <c r="F98" s="14"/>
      <c r="G98" s="14"/>
      <c r="H98" s="14"/>
      <c r="I98" s="14"/>
      <c r="J98" s="14"/>
    </row>
    <row r="99" spans="2:10" s="2" customFormat="1" ht="15.75">
      <c r="B99" s="14"/>
      <c r="C99" s="14"/>
      <c r="D99" s="14"/>
      <c r="E99" s="14"/>
      <c r="F99" s="14"/>
      <c r="G99" s="14"/>
      <c r="H99" s="14"/>
      <c r="I99" s="14"/>
      <c r="J99" s="14"/>
    </row>
    <row r="100" spans="2:10" s="1" customFormat="1" ht="15.7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s="1" customFormat="1" ht="15.7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s="1" customFormat="1" ht="15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s="1" customFormat="1" ht="15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s="1" customFormat="1" ht="15.7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s="7" customFormat="1" ht="15.75">
      <c r="B105" s="14"/>
      <c r="C105" s="15"/>
      <c r="D105" s="15"/>
      <c r="E105" s="15"/>
      <c r="F105" s="15"/>
      <c r="G105" s="15"/>
      <c r="H105" s="15"/>
      <c r="I105" s="15"/>
      <c r="J105" s="15"/>
    </row>
    <row r="106" spans="2:10" s="1" customFormat="1" ht="15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s="1" customFormat="1" ht="15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s="1" customFormat="1" ht="15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s="1" customFormat="1" ht="15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5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5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5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s="1" customFormat="1" ht="15.75">
      <c r="B113" s="2"/>
      <c r="C113" s="2"/>
      <c r="D113" s="2"/>
      <c r="E113" s="2"/>
      <c r="F113" s="2"/>
      <c r="G113" s="2"/>
      <c r="H113" s="2"/>
      <c r="I113" s="2"/>
      <c r="J113" s="2"/>
    </row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</sheetData>
  <sheetProtection/>
  <mergeCells count="3">
    <mergeCell ref="A89:I89"/>
    <mergeCell ref="A1:I1"/>
    <mergeCell ref="A2:I2"/>
  </mergeCells>
  <printOptions/>
  <pageMargins left="0.7874015748031497" right="1.3385826771653544" top="0.7874015748031497" bottom="0.7874015748031497" header="0.5118110236220472" footer="0.5118110236220472"/>
  <pageSetup fitToHeight="1" fitToWidth="1" horizontalDpi="300" verticalDpi="300" orientation="landscape" paperSize="9" scale="51" r:id="rId1"/>
  <colBreaks count="1" manualBreakCount="1">
    <brk id="9" max="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J23"/>
  <sheetViews>
    <sheetView view="pageBreakPreview" zoomScaleNormal="8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14.7109375" style="0" customWidth="1"/>
    <col min="4" max="4" width="11.421875" style="0" customWidth="1"/>
    <col min="5" max="5" width="13.8515625" style="0" customWidth="1"/>
    <col min="6" max="6" width="13.7109375" style="0" customWidth="1"/>
    <col min="7" max="7" width="11.421875" style="0" customWidth="1"/>
    <col min="8" max="8" width="15.28125" style="0" customWidth="1"/>
    <col min="9" max="9" width="13.7109375" style="0" customWidth="1"/>
    <col min="10" max="10" width="13.00390625" style="0" customWidth="1"/>
    <col min="11" max="11" width="0.9921875" style="0" customWidth="1"/>
  </cols>
  <sheetData>
    <row r="1" spans="1:10" ht="12.75">
      <c r="A1" s="400" t="str">
        <f>Parâmetros!A7</f>
        <v>Município de : Boqueirão do Leão - RS</v>
      </c>
      <c r="B1" s="403"/>
      <c r="C1" s="403"/>
      <c r="D1" s="403"/>
      <c r="E1" s="403"/>
      <c r="F1" s="403"/>
      <c r="G1" s="403"/>
      <c r="H1" s="403"/>
      <c r="I1" s="403"/>
      <c r="J1" s="417"/>
    </row>
    <row r="2" spans="1:10" ht="12.75">
      <c r="A2" s="402" t="s">
        <v>416</v>
      </c>
      <c r="B2" s="403"/>
      <c r="C2" s="403"/>
      <c r="D2" s="403"/>
      <c r="E2" s="403"/>
      <c r="F2" s="403"/>
      <c r="G2" s="403"/>
      <c r="H2" s="403"/>
      <c r="I2" s="403"/>
      <c r="J2" s="417"/>
    </row>
    <row r="3" spans="1:10" ht="12.75">
      <c r="A3" s="402" t="s">
        <v>175</v>
      </c>
      <c r="B3" s="403"/>
      <c r="C3" s="403"/>
      <c r="D3" s="403"/>
      <c r="E3" s="403"/>
      <c r="F3" s="403"/>
      <c r="G3" s="403"/>
      <c r="H3" s="403"/>
      <c r="I3" s="403"/>
      <c r="J3" s="417"/>
    </row>
    <row r="4" spans="1:10" ht="12.75">
      <c r="A4" s="418" t="s">
        <v>238</v>
      </c>
      <c r="B4" s="419"/>
      <c r="C4" s="419"/>
      <c r="D4" s="419"/>
      <c r="E4" s="419"/>
      <c r="F4" s="419"/>
      <c r="G4" s="419"/>
      <c r="H4" s="419"/>
      <c r="I4" s="419"/>
      <c r="J4" s="420"/>
    </row>
    <row r="5" spans="1:10" ht="17.25" customHeight="1">
      <c r="A5" s="402" t="s">
        <v>406</v>
      </c>
      <c r="B5" s="403"/>
      <c r="C5" s="403"/>
      <c r="D5" s="403"/>
      <c r="E5" s="403"/>
      <c r="F5" s="403"/>
      <c r="G5" s="403"/>
      <c r="H5" s="403"/>
      <c r="I5" s="403"/>
      <c r="J5" s="417"/>
    </row>
    <row r="6" spans="1:10" ht="21.75" customHeight="1">
      <c r="A6" s="91"/>
      <c r="B6" s="93"/>
      <c r="C6" s="93"/>
      <c r="D6" s="93"/>
      <c r="E6" s="93"/>
      <c r="F6" s="93"/>
      <c r="G6" s="93"/>
      <c r="H6" s="93"/>
      <c r="I6" s="93"/>
      <c r="J6" s="94"/>
    </row>
    <row r="7" spans="1:10" ht="15">
      <c r="A7" s="215" t="s">
        <v>287</v>
      </c>
      <c r="B7" s="422"/>
      <c r="C7" s="422"/>
      <c r="D7" s="422"/>
      <c r="E7" s="422"/>
      <c r="F7" s="422"/>
      <c r="G7" s="422"/>
      <c r="H7" s="423">
        <v>1</v>
      </c>
      <c r="I7" s="424"/>
      <c r="J7" s="424"/>
    </row>
    <row r="8" spans="1:10" s="29" customFormat="1" ht="12.75">
      <c r="A8" s="416" t="s">
        <v>97</v>
      </c>
      <c r="B8" s="416">
        <v>2018</v>
      </c>
      <c r="C8" s="416"/>
      <c r="D8" s="416"/>
      <c r="E8" s="416">
        <f>B8+1</f>
        <v>2019</v>
      </c>
      <c r="F8" s="416"/>
      <c r="G8" s="416"/>
      <c r="H8" s="416">
        <f>E8+1</f>
        <v>2020</v>
      </c>
      <c r="I8" s="416"/>
      <c r="J8" s="416"/>
    </row>
    <row r="9" spans="1:10" ht="15.75" customHeight="1">
      <c r="A9" s="416"/>
      <c r="B9" s="289" t="s">
        <v>98</v>
      </c>
      <c r="C9" s="289" t="s">
        <v>98</v>
      </c>
      <c r="D9" s="289" t="s">
        <v>99</v>
      </c>
      <c r="E9" s="289" t="s">
        <v>98</v>
      </c>
      <c r="F9" s="289" t="s">
        <v>98</v>
      </c>
      <c r="G9" s="289" t="s">
        <v>99</v>
      </c>
      <c r="H9" s="289" t="s">
        <v>98</v>
      </c>
      <c r="I9" s="289" t="s">
        <v>98</v>
      </c>
      <c r="J9" s="290" t="s">
        <v>99</v>
      </c>
    </row>
    <row r="10" spans="1:10" ht="15.75" customHeight="1">
      <c r="A10" s="416"/>
      <c r="B10" s="289" t="s">
        <v>100</v>
      </c>
      <c r="C10" s="289" t="s">
        <v>101</v>
      </c>
      <c r="D10" s="289" t="s">
        <v>102</v>
      </c>
      <c r="E10" s="289" t="s">
        <v>100</v>
      </c>
      <c r="F10" s="289" t="s">
        <v>101</v>
      </c>
      <c r="G10" s="289" t="s">
        <v>103</v>
      </c>
      <c r="H10" s="289" t="s">
        <v>100</v>
      </c>
      <c r="I10" s="289" t="s">
        <v>101</v>
      </c>
      <c r="J10" s="290" t="s">
        <v>104</v>
      </c>
    </row>
    <row r="11" spans="1:10" ht="15.75" customHeight="1">
      <c r="A11" s="416"/>
      <c r="B11" s="289" t="s">
        <v>105</v>
      </c>
      <c r="C11" s="291"/>
      <c r="D11" s="289" t="s">
        <v>106</v>
      </c>
      <c r="E11" s="289" t="s">
        <v>107</v>
      </c>
      <c r="F11" s="291"/>
      <c r="G11" s="289" t="s">
        <v>106</v>
      </c>
      <c r="H11" s="289" t="s">
        <v>108</v>
      </c>
      <c r="I11" s="291"/>
      <c r="J11" s="290" t="s">
        <v>106</v>
      </c>
    </row>
    <row r="12" spans="1:10" ht="15">
      <c r="A12" s="292" t="s">
        <v>109</v>
      </c>
      <c r="B12" s="293">
        <f>Projeções!G36</f>
        <v>26023137.154568966</v>
      </c>
      <c r="C12" s="293">
        <f>B12/(1+Parâmetros!E11)</f>
        <v>24962241.8748863</v>
      </c>
      <c r="D12" s="294">
        <f>B12/(Parâmetros!E20)/1000000</f>
        <v>5.7705397054556406E-05</v>
      </c>
      <c r="E12" s="293">
        <f>Projeções!H36</f>
        <v>29432827.04926652</v>
      </c>
      <c r="F12" s="293">
        <f>E12/((1+Parâmetros!E11)*(1+Parâmetros!F11))</f>
        <v>27079347.42489517</v>
      </c>
      <c r="G12" s="294">
        <f>E12/(Parâmetros!F20)/1000000</f>
        <v>5.9677603957775E-05</v>
      </c>
      <c r="H12" s="293">
        <f>Projeções!I36</f>
        <v>32424222.62381206</v>
      </c>
      <c r="I12" s="293">
        <f>H12/((1+Parâmetros!E11)*(1+Parâmetros!F11)*(1+Parâmetros!G11))</f>
        <v>28640118.933990404</v>
      </c>
      <c r="J12" s="294">
        <f>H12/(Parâmetros!G20)/1000000</f>
        <v>6.033480864392195E-05</v>
      </c>
    </row>
    <row r="13" spans="1:10" ht="15">
      <c r="A13" s="292" t="s">
        <v>176</v>
      </c>
      <c r="B13" s="293">
        <f>B12-(Projeções!G16+Projeções!G28+Projeções!G29+Projeções!G30)</f>
        <v>22475774.396003507</v>
      </c>
      <c r="C13" s="293">
        <f>B13/(1+Parâmetros!E11)</f>
        <v>21559495.823504563</v>
      </c>
      <c r="D13" s="294">
        <f>B13/(Parâmetros!E20)/1000000</f>
        <v>4.9839244128269956E-05</v>
      </c>
      <c r="E13" s="293">
        <f>E12-(Projeções!H16+Projeções!H28+Projeções!H29+Projeções!H30)</f>
        <v>25727152.445615705</v>
      </c>
      <c r="F13" s="293">
        <f>E13/((1+Parâmetros!E11)*(1+Parâmetros!F11))</f>
        <v>23669982.437022835</v>
      </c>
      <c r="G13" s="294">
        <f>E13/(Parâmetros!F20)/1000000</f>
        <v>5.216402800997731E-05</v>
      </c>
      <c r="H13" s="293">
        <f>H12-(Projeções!I16+Projeções!I28+Projeções!I29+Projeções!I30)</f>
        <v>28556860.740946364</v>
      </c>
      <c r="I13" s="293">
        <f>H13/((1+Parâmetros!E11)*(1+Parâmetros!F11)*(1+Parâmetros!G11))</f>
        <v>25224101.66902405</v>
      </c>
      <c r="J13" s="294">
        <f>H13/(Parâmetros!G20)/1000000</f>
        <v>5.313844369581863E-05</v>
      </c>
    </row>
    <row r="14" spans="1:10" ht="15">
      <c r="A14" s="292" t="s">
        <v>110</v>
      </c>
      <c r="B14" s="293">
        <f>Projeções!G61</f>
        <v>26023137.154568966</v>
      </c>
      <c r="C14" s="293">
        <f>B14/(1+Parâmetros!E11)</f>
        <v>24962241.8748863</v>
      </c>
      <c r="D14" s="294">
        <f>B14/(Parâmetros!E20)/1000000</f>
        <v>5.7705397054556406E-05</v>
      </c>
      <c r="E14" s="293">
        <f>Projeções!H61</f>
        <v>29432827.04926652</v>
      </c>
      <c r="F14" s="293">
        <f>E14/((1+Parâmetros!E11)*(1+Parâmetros!F11))</f>
        <v>27079347.42489517</v>
      </c>
      <c r="G14" s="294">
        <f>E14/(Parâmetros!F20)/1000000</f>
        <v>5.9677603957775E-05</v>
      </c>
      <c r="H14" s="293">
        <f>Projeções!I61</f>
        <v>32424222.623812057</v>
      </c>
      <c r="I14" s="293">
        <f>H14/((1+Parâmetros!E11)*(1+Parâmetros!F11)*(1+Parâmetros!G11))</f>
        <v>28640118.9339904</v>
      </c>
      <c r="J14" s="294">
        <f>H14/(Parâmetros!G20)/1000000</f>
        <v>6.033480864392194E-05</v>
      </c>
    </row>
    <row r="15" spans="1:10" ht="15">
      <c r="A15" s="292" t="s">
        <v>177</v>
      </c>
      <c r="B15" s="293">
        <f>B14-(Projeções!G45+Projeções!G56+Projeções!G58)</f>
        <v>25805743.38977128</v>
      </c>
      <c r="C15" s="293">
        <f>B15/(1+Parâmetros!E11)</f>
        <v>24753710.685631923</v>
      </c>
      <c r="D15" s="294">
        <f>B15/(Parâmetros!E20)/1000000</f>
        <v>5.7223333979673335E-05</v>
      </c>
      <c r="E15" s="293">
        <f>E14-(Projeções!H45+Projeções!H56+Projeções!H58)</f>
        <v>29181240.288778868</v>
      </c>
      <c r="F15" s="293">
        <f>E15/((1+Parâmetros!E11)*(1+Parâmetros!F11))</f>
        <v>26847877.804822817</v>
      </c>
      <c r="G15" s="294">
        <f>E15/(Parâmetros!F20)/1000000</f>
        <v>5.916749002858056E-05</v>
      </c>
      <c r="H15" s="293">
        <f>H14-(Projeções!I45+Projeções!I56+Projeções!I58)</f>
        <v>32133344.049418483</v>
      </c>
      <c r="I15" s="293">
        <f>H15/((1+Parâmetros!E11)*(1+Parâmetros!F11)*(1+Parâmetros!G11))</f>
        <v>28383187.655710086</v>
      </c>
      <c r="J15" s="294">
        <f>H15/(Parâmetros!G20)/1000000</f>
        <v>5.979354345066593E-05</v>
      </c>
    </row>
    <row r="16" spans="1:10" ht="15">
      <c r="A16" s="292" t="s">
        <v>111</v>
      </c>
      <c r="B16" s="293">
        <f>B13-B15</f>
        <v>-3329968.993767772</v>
      </c>
      <c r="C16" s="293">
        <f>C13-C15</f>
        <v>-3194214.86212736</v>
      </c>
      <c r="D16" s="294">
        <f>B16/(Parâmetros!E20)/1000000</f>
        <v>-7.38408985140338E-06</v>
      </c>
      <c r="E16" s="293">
        <f>E13-E15</f>
        <v>-3454087.8431631625</v>
      </c>
      <c r="F16" s="293">
        <f>F13-F15</f>
        <v>-3177895.3677999824</v>
      </c>
      <c r="G16" s="294">
        <f>E16/(Parâmetros!F20)/1000000</f>
        <v>-7.00346201860325E-06</v>
      </c>
      <c r="H16" s="293">
        <f>H13-H15</f>
        <v>-3576483.3084721193</v>
      </c>
      <c r="I16" s="293">
        <f>I13-I15</f>
        <v>-3159085.986686036</v>
      </c>
      <c r="J16" s="294">
        <f>H16/(Parâmetros!G20)/1000000</f>
        <v>-6.655099754847307E-06</v>
      </c>
    </row>
    <row r="17" spans="1:10" ht="15">
      <c r="A17" s="292" t="s">
        <v>112</v>
      </c>
      <c r="B17" s="293">
        <f>Dívida!E12</f>
        <v>220221.57940231403</v>
      </c>
      <c r="C17" s="293">
        <f>B17/(1+Parâmetros!E11)</f>
        <v>211243.7212492221</v>
      </c>
      <c r="D17" s="294">
        <f>B17/(Parâmetros!E20)/1000000</f>
        <v>4.883336549283364E-07</v>
      </c>
      <c r="E17" s="293">
        <f>Dívida!F12</f>
        <v>-96523.5942867333</v>
      </c>
      <c r="F17" s="293">
        <f>E17/((1+Parâmetros!E11)*(1+Parâmetros!F11))</f>
        <v>-88805.46676725757</v>
      </c>
      <c r="G17" s="294">
        <f>E17/(Parâmetros!F20)/1000000</f>
        <v>-1.957099405633946E-07</v>
      </c>
      <c r="H17" s="293">
        <f>Dívida!G12</f>
        <v>-83299.34314197185</v>
      </c>
      <c r="I17" s="293">
        <f>H17/((1+Parâmetros!E11)*(1+Parâmetros!F11)*(1+Parâmetros!G11))</f>
        <v>-73577.80392728097</v>
      </c>
      <c r="J17" s="294">
        <f>H17/(Parâmetros!G20)/1000000</f>
        <v>-1.5500294292157751E-07</v>
      </c>
    </row>
    <row r="18" spans="1:10" ht="15">
      <c r="A18" s="292" t="s">
        <v>113</v>
      </c>
      <c r="B18" s="293">
        <f>Dívida!E7</f>
        <v>1859228.359402314</v>
      </c>
      <c r="C18" s="293">
        <f>B18/(1+Parâmetros!E11)</f>
        <v>1783432.479042987</v>
      </c>
      <c r="D18" s="294">
        <f>B18/(Parâmetros!E20)/1000000</f>
        <v>4.122773901438137E-06</v>
      </c>
      <c r="E18" s="293">
        <f>Dívida!F7</f>
        <v>1812156.7184489141</v>
      </c>
      <c r="F18" s="293">
        <f>E18/((1+Parâmetros!E11)*(1+Parâmetros!F11))</f>
        <v>1667254.7725400706</v>
      </c>
      <c r="G18" s="294">
        <f>E18/(Parâmetros!F20)/1000000</f>
        <v>3.674304570607345E-06</v>
      </c>
      <c r="H18" s="293">
        <f>Dívida!G7</f>
        <v>1720615.38308472</v>
      </c>
      <c r="I18" s="293">
        <f>H18/((1+Parâmetros!E11)*(1+Parâmetros!F11)*(1+Parâmetros!G11))</f>
        <v>1519809.1187237918</v>
      </c>
      <c r="J18" s="294">
        <f>H18/(Parâmetros!G20)/1000000</f>
        <v>3.201711297527475E-06</v>
      </c>
    </row>
    <row r="19" spans="1:10" ht="15.75" customHeight="1">
      <c r="A19" s="292" t="s">
        <v>114</v>
      </c>
      <c r="B19" s="293">
        <f>Dívida!E9</f>
        <v>220221.57940231403</v>
      </c>
      <c r="C19" s="293">
        <f>B19/(1+Parâmetros!E11)</f>
        <v>211243.7212492221</v>
      </c>
      <c r="D19" s="294">
        <f>B19/(Parâmetros!E20)/1000000</f>
        <v>4.883336549283364E-07</v>
      </c>
      <c r="E19" s="293">
        <f>Dívida!F9</f>
        <v>123697.98511558073</v>
      </c>
      <c r="F19" s="293">
        <f>E19/((1+Parâmetros!E11)*(1+Parâmetros!F11))</f>
        <v>113806.96489322787</v>
      </c>
      <c r="G19" s="294">
        <f>E19/(Parâmetros!F20)/1000000</f>
        <v>2.5080836963931185E-07</v>
      </c>
      <c r="H19" s="293">
        <f>Dívida!G9</f>
        <v>40398.64197360887</v>
      </c>
      <c r="I19" s="293">
        <f>H19/((1+Parâmetros!E11)*(1+Parâmetros!F11)*(1+Parâmetros!G11))</f>
        <v>35683.87511767663</v>
      </c>
      <c r="J19" s="294">
        <f>H19/(Parâmetros!G20)/1000000</f>
        <v>7.517356271671929E-08</v>
      </c>
    </row>
    <row r="20" spans="1:10" ht="28.5" customHeight="1">
      <c r="A20" s="292" t="s">
        <v>388</v>
      </c>
      <c r="B20" s="293">
        <v>0</v>
      </c>
      <c r="C20" s="293">
        <v>0</v>
      </c>
      <c r="D20" s="294">
        <v>0</v>
      </c>
      <c r="E20" s="293">
        <v>0</v>
      </c>
      <c r="F20" s="293">
        <v>0</v>
      </c>
      <c r="G20" s="294">
        <v>0</v>
      </c>
      <c r="H20" s="293">
        <v>0</v>
      </c>
      <c r="I20" s="293">
        <v>0</v>
      </c>
      <c r="J20" s="294">
        <v>0</v>
      </c>
    </row>
    <row r="21" spans="1:10" ht="25.5" customHeight="1">
      <c r="A21" s="292" t="s">
        <v>389</v>
      </c>
      <c r="B21" s="293">
        <v>0</v>
      </c>
      <c r="C21" s="293">
        <v>0</v>
      </c>
      <c r="D21" s="294">
        <v>0</v>
      </c>
      <c r="E21" s="293">
        <v>0</v>
      </c>
      <c r="F21" s="293">
        <v>0</v>
      </c>
      <c r="G21" s="294">
        <v>0</v>
      </c>
      <c r="H21" s="293">
        <v>0</v>
      </c>
      <c r="I21" s="293">
        <v>0</v>
      </c>
      <c r="J21" s="294">
        <v>0</v>
      </c>
    </row>
    <row r="22" spans="1:10" ht="24.75" customHeight="1">
      <c r="A22" s="292" t="s">
        <v>390</v>
      </c>
      <c r="B22" s="293">
        <v>0</v>
      </c>
      <c r="C22" s="293">
        <v>0</v>
      </c>
      <c r="D22" s="294">
        <v>0</v>
      </c>
      <c r="E22" s="293">
        <v>0</v>
      </c>
      <c r="F22" s="293">
        <v>0</v>
      </c>
      <c r="G22" s="294">
        <v>0</v>
      </c>
      <c r="H22" s="293">
        <v>0</v>
      </c>
      <c r="I22" s="293">
        <v>0</v>
      </c>
      <c r="J22" s="294">
        <v>0</v>
      </c>
    </row>
    <row r="23" spans="1:10" ht="12.75">
      <c r="A23" s="421" t="str">
        <f>Dívida!A21</f>
        <v>Fonte: Sistema Betha Sistemas, Unidade Responsável Contabilidade, Data da emissão 20/06/2017 e hora de emissão 08:34</v>
      </c>
      <c r="B23" s="421"/>
      <c r="C23" s="421"/>
      <c r="D23" s="421"/>
      <c r="E23" s="421"/>
      <c r="F23" s="421"/>
      <c r="G23" s="421"/>
      <c r="H23" s="421"/>
      <c r="I23" s="421"/>
      <c r="J23" s="421"/>
    </row>
    <row r="24" s="92" customFormat="1" ht="15" customHeight="1"/>
  </sheetData>
  <sheetProtection/>
  <mergeCells count="13">
    <mergeCell ref="A23:J23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</mergeCells>
  <printOptions/>
  <pageMargins left="0.787401575" right="0.787401575" top="0.984251969" bottom="0.984251969" header="0.492125985" footer="0.492125985"/>
  <pageSetup fitToHeight="0" fitToWidth="1" horizontalDpi="300" verticalDpi="300" orientation="portrait" paperSize="9" scale="56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Normal="90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30.00390625" style="0" customWidth="1"/>
    <col min="2" max="2" width="13.57421875" style="0" bestFit="1" customWidth="1"/>
    <col min="3" max="3" width="13.421875" style="0" customWidth="1"/>
    <col min="4" max="4" width="12.140625" style="0" customWidth="1"/>
    <col min="5" max="6" width="13.57421875" style="0" bestFit="1" customWidth="1"/>
    <col min="7" max="7" width="10.7109375" style="0" customWidth="1"/>
    <col min="8" max="8" width="13.57421875" style="0" bestFit="1" customWidth="1"/>
    <col min="9" max="9" width="13.140625" style="0" customWidth="1"/>
    <col min="10" max="10" width="10.140625" style="0" customWidth="1"/>
  </cols>
  <sheetData>
    <row r="1" spans="1:10" ht="12.75">
      <c r="A1" s="400" t="str">
        <f>Parâmetros!A7</f>
        <v>Município de : Boqueirão do Leão - RS</v>
      </c>
      <c r="B1" s="403"/>
      <c r="C1" s="403"/>
      <c r="D1" s="403"/>
      <c r="E1" s="403"/>
      <c r="F1" s="403"/>
      <c r="G1" s="403"/>
      <c r="H1" s="403"/>
      <c r="I1" s="403"/>
      <c r="J1" s="417"/>
    </row>
    <row r="2" spans="1:10" ht="12.75">
      <c r="A2" s="402" t="s">
        <v>416</v>
      </c>
      <c r="B2" s="403"/>
      <c r="C2" s="403"/>
      <c r="D2" s="403"/>
      <c r="E2" s="403"/>
      <c r="F2" s="403"/>
      <c r="G2" s="403"/>
      <c r="H2" s="403"/>
      <c r="I2" s="403"/>
      <c r="J2" s="417"/>
    </row>
    <row r="3" spans="1:10" ht="12.75">
      <c r="A3" s="402" t="s">
        <v>175</v>
      </c>
      <c r="B3" s="403"/>
      <c r="C3" s="403"/>
      <c r="D3" s="403"/>
      <c r="E3" s="403"/>
      <c r="F3" s="403"/>
      <c r="G3" s="403"/>
      <c r="H3" s="403"/>
      <c r="I3" s="403"/>
      <c r="J3" s="417"/>
    </row>
    <row r="4" spans="1:10" ht="12.75">
      <c r="A4" s="425" t="s">
        <v>239</v>
      </c>
      <c r="B4" s="426"/>
      <c r="C4" s="426"/>
      <c r="D4" s="426"/>
      <c r="E4" s="426"/>
      <c r="F4" s="426"/>
      <c r="G4" s="426"/>
      <c r="H4" s="426"/>
      <c r="I4" s="426"/>
      <c r="J4" s="427"/>
    </row>
    <row r="5" spans="1:10" ht="17.25" customHeight="1">
      <c r="A5" s="402" t="s">
        <v>406</v>
      </c>
      <c r="B5" s="403"/>
      <c r="C5" s="403"/>
      <c r="D5" s="403"/>
      <c r="E5" s="403"/>
      <c r="F5" s="403"/>
      <c r="G5" s="403"/>
      <c r="H5" s="403"/>
      <c r="I5" s="403"/>
      <c r="J5" s="417"/>
    </row>
    <row r="6" spans="1:10" ht="21.75" customHeight="1">
      <c r="A6" s="339"/>
      <c r="B6" s="340"/>
      <c r="C6" s="340"/>
      <c r="D6" s="340"/>
      <c r="E6" s="340"/>
      <c r="F6" s="340"/>
      <c r="G6" s="340"/>
      <c r="H6" s="340"/>
      <c r="I6" s="340"/>
      <c r="J6" s="341"/>
    </row>
    <row r="7" spans="1:10" ht="15">
      <c r="A7" s="215" t="s">
        <v>287</v>
      </c>
      <c r="B7" s="422"/>
      <c r="C7" s="422"/>
      <c r="D7" s="422"/>
      <c r="E7" s="422"/>
      <c r="F7" s="422"/>
      <c r="G7" s="422"/>
      <c r="H7" s="423">
        <v>1</v>
      </c>
      <c r="I7" s="424"/>
      <c r="J7" s="424"/>
    </row>
    <row r="8" spans="1:10" s="29" customFormat="1" ht="12.75">
      <c r="A8" s="429" t="s">
        <v>97</v>
      </c>
      <c r="B8" s="432">
        <v>2018</v>
      </c>
      <c r="C8" s="433"/>
      <c r="D8" s="434"/>
      <c r="E8" s="432">
        <f>B8+1</f>
        <v>2019</v>
      </c>
      <c r="F8" s="433"/>
      <c r="G8" s="434"/>
      <c r="H8" s="432">
        <f>E8+1</f>
        <v>2020</v>
      </c>
      <c r="I8" s="433"/>
      <c r="J8" s="434"/>
    </row>
    <row r="9" spans="1:10" ht="15.75" customHeight="1">
      <c r="A9" s="430"/>
      <c r="B9" s="342" t="s">
        <v>98</v>
      </c>
      <c r="C9" s="343" t="s">
        <v>98</v>
      </c>
      <c r="D9" s="343" t="s">
        <v>99</v>
      </c>
      <c r="E9" s="343" t="s">
        <v>98</v>
      </c>
      <c r="F9" s="343" t="s">
        <v>98</v>
      </c>
      <c r="G9" s="343" t="s">
        <v>99</v>
      </c>
      <c r="H9" s="343" t="s">
        <v>98</v>
      </c>
      <c r="I9" s="343" t="s">
        <v>98</v>
      </c>
      <c r="J9" s="344" t="s">
        <v>99</v>
      </c>
    </row>
    <row r="10" spans="1:10" ht="15.75" customHeight="1">
      <c r="A10" s="430"/>
      <c r="B10" s="345" t="s">
        <v>100</v>
      </c>
      <c r="C10" s="346" t="s">
        <v>101</v>
      </c>
      <c r="D10" s="346" t="s">
        <v>102</v>
      </c>
      <c r="E10" s="346" t="s">
        <v>100</v>
      </c>
      <c r="F10" s="346" t="s">
        <v>101</v>
      </c>
      <c r="G10" s="346" t="s">
        <v>103</v>
      </c>
      <c r="H10" s="346" t="s">
        <v>100</v>
      </c>
      <c r="I10" s="346" t="s">
        <v>101</v>
      </c>
      <c r="J10" s="347" t="s">
        <v>104</v>
      </c>
    </row>
    <row r="11" spans="1:10" ht="15.75" customHeight="1">
      <c r="A11" s="431"/>
      <c r="B11" s="348" t="s">
        <v>105</v>
      </c>
      <c r="C11" s="349"/>
      <c r="D11" s="350" t="s">
        <v>106</v>
      </c>
      <c r="E11" s="350" t="s">
        <v>107</v>
      </c>
      <c r="F11" s="349"/>
      <c r="G11" s="350" t="s">
        <v>106</v>
      </c>
      <c r="H11" s="350" t="s">
        <v>108</v>
      </c>
      <c r="I11" s="349"/>
      <c r="J11" s="351" t="s">
        <v>106</v>
      </c>
    </row>
    <row r="12" spans="1:10" ht="15">
      <c r="A12" s="352" t="s">
        <v>233</v>
      </c>
      <c r="B12" s="353">
        <f>Projeções!G14+Projeções!G18+Projeções!G26+Projeções!G33</f>
        <v>4482100.655704746</v>
      </c>
      <c r="C12" s="353">
        <f>B12/(1+Parâmetros!E11)</f>
        <v>4299377.127774336</v>
      </c>
      <c r="D12" s="354">
        <f>B12/(Parâmetros!E20)/1000000</f>
        <v>9.938901541335475E-06</v>
      </c>
      <c r="E12" s="353">
        <f>Projeções!H14+Projeções!H18+Projeções!H26+Projeções!H33</f>
        <v>4775429.377950183</v>
      </c>
      <c r="F12" s="353">
        <f>E12/((1+Parâmetros!E11)*(1+Parâmetros!F11))</f>
        <v>4393581.051935907</v>
      </c>
      <c r="G12" s="354">
        <f>E12/(Parâmetros!F20)/1000000</f>
        <v>9.682596329214554E-06</v>
      </c>
      <c r="H12" s="353">
        <f>Projeções!I14+Projeções!I18+Projeções!I26+Projeções!I33</f>
        <v>5088201.987919704</v>
      </c>
      <c r="I12" s="353">
        <f>H12/((1+Parâmetros!E11)*(1+Parâmetros!F11)*(1+Parâmetros!G11))</f>
        <v>4494377.915699553</v>
      </c>
      <c r="J12" s="354">
        <f>H12/(Parâmetros!G20)/1000000</f>
        <v>9.46809725693481E-06</v>
      </c>
    </row>
    <row r="13" spans="1:10" ht="15">
      <c r="A13" s="352" t="s">
        <v>234</v>
      </c>
      <c r="B13" s="353">
        <f>B12-Projeções!G18</f>
        <v>1403506.351955871</v>
      </c>
      <c r="C13" s="353">
        <f>B13/(1+Parâmetros!E11)</f>
        <v>1346289.0666243369</v>
      </c>
      <c r="D13" s="354">
        <f>B13/(Parâmetros!E20)/1000000</f>
        <v>3.1122262787592416E-06</v>
      </c>
      <c r="E13" s="353">
        <f>E12-Projeções!H18</f>
        <v>1565686.9568616063</v>
      </c>
      <c r="F13" s="353">
        <f>E13/((1+Parâmetros!E11)*(1+Parâmetros!F11))</f>
        <v>1440492.990785908</v>
      </c>
      <c r="G13" s="354">
        <f>E13/(Parâmetros!F20)/1000000</f>
        <v>3.1745657995081844E-06</v>
      </c>
      <c r="H13" s="353">
        <f>H12-Projeções!I18</f>
        <v>1744934.2821138422</v>
      </c>
      <c r="I13" s="353">
        <f>H13/((1+Parâmetros!E11)*(1+Parâmetros!F11)*(1+Parâmetros!G11))</f>
        <v>1541289.8545495525</v>
      </c>
      <c r="J13" s="354">
        <f>H13/(Parâmetros!G20)/1000000</f>
        <v>3.2469637662258423E-06</v>
      </c>
    </row>
    <row r="14" spans="1:10" ht="15">
      <c r="A14" s="352" t="s">
        <v>235</v>
      </c>
      <c r="B14" s="353">
        <f>Projeções!G44+Projeções!G47+Projeções!G50+Projeções!G54+Projeções!G60</f>
        <v>4482100.655704746</v>
      </c>
      <c r="C14" s="353">
        <f>B14/(1+Parâmetros!E11)</f>
        <v>4299377.127774336</v>
      </c>
      <c r="D14" s="354">
        <f>B14/(Parâmetros!E20)/1000000</f>
        <v>9.938901541335475E-06</v>
      </c>
      <c r="E14" s="353">
        <f>Projeções!H44+Projeções!H47+Projeções!H50+Projeções!H54+Projeções!H60</f>
        <v>4775429.377950183</v>
      </c>
      <c r="F14" s="353">
        <f>E14/((1+Parâmetros!E11)*(1+Parâmetros!F11))</f>
        <v>4393581.051935907</v>
      </c>
      <c r="G14" s="354">
        <f>E14/(Parâmetros!F20)/1000000</f>
        <v>9.682596329214554E-06</v>
      </c>
      <c r="H14" s="353">
        <f>Projeções!I44+Projeções!I47+Projeções!I50+Projeções!I54+Projeções!I60</f>
        <v>5088201.987919704</v>
      </c>
      <c r="I14" s="353">
        <f>H14/((1+Parâmetros!E11)*(1+Parâmetros!F11)*(1+Parâmetros!G11))</f>
        <v>4494377.915699553</v>
      </c>
      <c r="J14" s="354">
        <f>H14/(Parâmetros!G20)/1000000</f>
        <v>9.46809725693481E-06</v>
      </c>
    </row>
    <row r="15" spans="1:10" ht="15">
      <c r="A15" s="352" t="s">
        <v>236</v>
      </c>
      <c r="B15" s="353">
        <f>B14-Projeções!G47</f>
        <v>4482100.655704746</v>
      </c>
      <c r="C15" s="353">
        <f>B15/(1+Parâmetros!E11)</f>
        <v>4299377.127774336</v>
      </c>
      <c r="D15" s="354">
        <f>B15/(Parâmetros!E20)/1000000</f>
        <v>9.938901541335475E-06</v>
      </c>
      <c r="E15" s="353">
        <f>E14-Projeções!H47</f>
        <v>4775429.377950183</v>
      </c>
      <c r="F15" s="353">
        <f>E15/((1+Parâmetros!E11)*(1+Parâmetros!F11))</f>
        <v>4393581.051935907</v>
      </c>
      <c r="G15" s="354">
        <f>E15/(Parâmetros!F20)/1000000</f>
        <v>9.682596329214554E-06</v>
      </c>
      <c r="H15" s="353">
        <f>H14-Projeções!I47</f>
        <v>5088201.987919704</v>
      </c>
      <c r="I15" s="353">
        <f>H15/((1+Parâmetros!E11)*(1+Parâmetros!F11)*(1+Parâmetros!G11))</f>
        <v>4494377.915699553</v>
      </c>
      <c r="J15" s="354">
        <f>H15/(Parâmetros!G20)/1000000</f>
        <v>9.46809725693481E-06</v>
      </c>
    </row>
    <row r="16" spans="1:10" ht="15">
      <c r="A16" s="352" t="s">
        <v>237</v>
      </c>
      <c r="B16" s="353">
        <f>B13-B15</f>
        <v>-3078594.303748875</v>
      </c>
      <c r="C16" s="353">
        <f>C13-C15</f>
        <v>-2953088.0611499995</v>
      </c>
      <c r="D16" s="354">
        <f>B16/(Parâmetros!E20)/1000000</f>
        <v>-6.8266752625762344E-06</v>
      </c>
      <c r="E16" s="353">
        <f>E13-E15</f>
        <v>-3209742.421088577</v>
      </c>
      <c r="F16" s="353">
        <f>F13-F15</f>
        <v>-2953088.0611499995</v>
      </c>
      <c r="G16" s="354">
        <f>E16/(Parâmetros!F20)/1000000</f>
        <v>-6.508030529706369E-06</v>
      </c>
      <c r="H16" s="353">
        <f>H13-H15</f>
        <v>-3343267.705805862</v>
      </c>
      <c r="I16" s="353">
        <f>I13-I15</f>
        <v>-2953088.0611500004</v>
      </c>
      <c r="J16" s="354">
        <f>H16/(Parâmetros!G20)/1000000</f>
        <v>-6.221133490708968E-06</v>
      </c>
    </row>
    <row r="17" spans="1:10" ht="12.75">
      <c r="A17" s="428" t="str">
        <f>Dívida!A21</f>
        <v>Fonte: Sistema Betha Sistemas, Unidade Responsável Contabilidade, Data da emissão 20/06/2017 e hora de emissão 08:34</v>
      </c>
      <c r="B17" s="428"/>
      <c r="C17" s="428"/>
      <c r="D17" s="428"/>
      <c r="E17" s="428"/>
      <c r="F17" s="428"/>
      <c r="G17" s="428"/>
      <c r="H17" s="428"/>
      <c r="I17" s="428"/>
      <c r="J17" s="428"/>
    </row>
    <row r="18" s="92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Normal="90" zoomScaleSheetLayoutView="100" zoomScalePageLayoutView="0" workbookViewId="0" topLeftCell="A16">
      <selection activeCell="A5" sqref="A5:J5"/>
    </sheetView>
  </sheetViews>
  <sheetFormatPr defaultColWidth="9.140625" defaultRowHeight="12.75"/>
  <cols>
    <col min="1" max="1" width="29.140625" style="0" customWidth="1"/>
    <col min="2" max="2" width="14.8515625" style="0" customWidth="1"/>
    <col min="3" max="3" width="14.28125" style="0" customWidth="1"/>
    <col min="4" max="4" width="12.140625" style="0" customWidth="1"/>
    <col min="5" max="5" width="14.00390625" style="0" customWidth="1"/>
    <col min="6" max="6" width="14.140625" style="0" customWidth="1"/>
    <col min="7" max="7" width="10.7109375" style="0" customWidth="1"/>
    <col min="8" max="8" width="15.140625" style="0" customWidth="1"/>
    <col min="9" max="9" width="14.140625" style="0" customWidth="1"/>
    <col min="10" max="10" width="11.140625" style="0" customWidth="1"/>
  </cols>
  <sheetData>
    <row r="1" spans="1:10" ht="12.75">
      <c r="A1" s="400" t="str">
        <f>Parâmetros!A7</f>
        <v>Município de : Boqueirão do Leão - RS</v>
      </c>
      <c r="B1" s="403"/>
      <c r="C1" s="403"/>
      <c r="D1" s="403"/>
      <c r="E1" s="403"/>
      <c r="F1" s="403"/>
      <c r="G1" s="403"/>
      <c r="H1" s="403"/>
      <c r="I1" s="403"/>
      <c r="J1" s="417"/>
    </row>
    <row r="2" spans="1:10" ht="12.75">
      <c r="A2" s="402" t="s">
        <v>416</v>
      </c>
      <c r="B2" s="403"/>
      <c r="C2" s="403"/>
      <c r="D2" s="403"/>
      <c r="E2" s="403"/>
      <c r="F2" s="403"/>
      <c r="G2" s="403"/>
      <c r="H2" s="403"/>
      <c r="I2" s="403"/>
      <c r="J2" s="417"/>
    </row>
    <row r="3" spans="1:10" ht="12.75">
      <c r="A3" s="402" t="s">
        <v>175</v>
      </c>
      <c r="B3" s="403"/>
      <c r="C3" s="403"/>
      <c r="D3" s="403"/>
      <c r="E3" s="403"/>
      <c r="F3" s="403"/>
      <c r="G3" s="403"/>
      <c r="H3" s="403"/>
      <c r="I3" s="403"/>
      <c r="J3" s="417"/>
    </row>
    <row r="4" spans="1:10" ht="12.75">
      <c r="A4" s="425" t="s">
        <v>240</v>
      </c>
      <c r="B4" s="426"/>
      <c r="C4" s="426"/>
      <c r="D4" s="426"/>
      <c r="E4" s="426"/>
      <c r="F4" s="426"/>
      <c r="G4" s="426"/>
      <c r="H4" s="426"/>
      <c r="I4" s="426"/>
      <c r="J4" s="427"/>
    </row>
    <row r="5" spans="1:10" ht="17.25" customHeight="1">
      <c r="A5" s="402" t="s">
        <v>406</v>
      </c>
      <c r="B5" s="403"/>
      <c r="C5" s="403"/>
      <c r="D5" s="403"/>
      <c r="E5" s="403"/>
      <c r="F5" s="403"/>
      <c r="G5" s="403"/>
      <c r="H5" s="403"/>
      <c r="I5" s="403"/>
      <c r="J5" s="417"/>
    </row>
    <row r="6" spans="1:10" ht="21.75" customHeight="1">
      <c r="A6" s="339"/>
      <c r="B6" s="340"/>
      <c r="C6" s="340"/>
      <c r="D6" s="340"/>
      <c r="E6" s="340"/>
      <c r="F6" s="340"/>
      <c r="G6" s="340"/>
      <c r="H6" s="340"/>
      <c r="I6" s="340"/>
      <c r="J6" s="341"/>
    </row>
    <row r="7" spans="1:10" ht="22.5">
      <c r="A7" s="215" t="s">
        <v>288</v>
      </c>
      <c r="B7" s="422"/>
      <c r="C7" s="422"/>
      <c r="D7" s="422"/>
      <c r="E7" s="422"/>
      <c r="F7" s="422"/>
      <c r="G7" s="422"/>
      <c r="H7" s="423">
        <v>1</v>
      </c>
      <c r="I7" s="424"/>
      <c r="J7" s="424"/>
    </row>
    <row r="8" spans="1:10" s="29" customFormat="1" ht="12.75">
      <c r="A8" s="429" t="s">
        <v>97</v>
      </c>
      <c r="B8" s="432">
        <v>2018</v>
      </c>
      <c r="C8" s="433"/>
      <c r="D8" s="434"/>
      <c r="E8" s="432">
        <f>B8+1</f>
        <v>2019</v>
      </c>
      <c r="F8" s="433"/>
      <c r="G8" s="434"/>
      <c r="H8" s="432">
        <f>E8+1</f>
        <v>2020</v>
      </c>
      <c r="I8" s="433"/>
      <c r="J8" s="434"/>
    </row>
    <row r="9" spans="1:10" ht="15.75" customHeight="1">
      <c r="A9" s="430"/>
      <c r="B9" s="342" t="s">
        <v>98</v>
      </c>
      <c r="C9" s="343" t="s">
        <v>98</v>
      </c>
      <c r="D9" s="343" t="s">
        <v>99</v>
      </c>
      <c r="E9" s="343" t="s">
        <v>98</v>
      </c>
      <c r="F9" s="343" t="s">
        <v>98</v>
      </c>
      <c r="G9" s="343" t="s">
        <v>99</v>
      </c>
      <c r="H9" s="343" t="s">
        <v>98</v>
      </c>
      <c r="I9" s="343" t="s">
        <v>98</v>
      </c>
      <c r="J9" s="344" t="s">
        <v>99</v>
      </c>
    </row>
    <row r="10" spans="1:10" ht="15.75" customHeight="1">
      <c r="A10" s="430"/>
      <c r="B10" s="345" t="s">
        <v>100</v>
      </c>
      <c r="C10" s="346" t="s">
        <v>101</v>
      </c>
      <c r="D10" s="346" t="s">
        <v>102</v>
      </c>
      <c r="E10" s="346" t="s">
        <v>100</v>
      </c>
      <c r="F10" s="346" t="s">
        <v>101</v>
      </c>
      <c r="G10" s="346" t="s">
        <v>103</v>
      </c>
      <c r="H10" s="346" t="s">
        <v>100</v>
      </c>
      <c r="I10" s="346" t="s">
        <v>101</v>
      </c>
      <c r="J10" s="347" t="s">
        <v>104</v>
      </c>
    </row>
    <row r="11" spans="1:10" ht="15.75" customHeight="1">
      <c r="A11" s="431"/>
      <c r="B11" s="348" t="s">
        <v>105</v>
      </c>
      <c r="C11" s="349"/>
      <c r="D11" s="350" t="s">
        <v>106</v>
      </c>
      <c r="E11" s="350" t="s">
        <v>107</v>
      </c>
      <c r="F11" s="349"/>
      <c r="G11" s="350" t="s">
        <v>106</v>
      </c>
      <c r="H11" s="350" t="s">
        <v>108</v>
      </c>
      <c r="I11" s="349"/>
      <c r="J11" s="351" t="s">
        <v>106</v>
      </c>
    </row>
    <row r="12" spans="1:10" ht="15">
      <c r="A12" s="352" t="s">
        <v>241</v>
      </c>
      <c r="B12" s="353">
        <f>Metas!B12-MetasRPPS!B12</f>
        <v>21541036.49886422</v>
      </c>
      <c r="C12" s="353">
        <f>B12/(1+Parâmetros!E11)</f>
        <v>20662864.74711196</v>
      </c>
      <c r="D12" s="354">
        <f>B12/(Parâmetros!E20)/1000000</f>
        <v>4.7766495513220926E-05</v>
      </c>
      <c r="E12" s="353">
        <f>Metas!E12-MetasRPPS!E12</f>
        <v>24657397.671316337</v>
      </c>
      <c r="F12" s="353">
        <f>E12/((1+Parâmetros!E11)*(1+Parâmetros!F11))</f>
        <v>22685766.372959264</v>
      </c>
      <c r="G12" s="354">
        <f>E12/(Parâmetros!F20)/1000000</f>
        <v>4.999500762856045E-05</v>
      </c>
      <c r="H12" s="353">
        <f>Metas!H12-MetasRPPS!H12</f>
        <v>27336020.635892358</v>
      </c>
      <c r="I12" s="353">
        <f>H12/((1+Parâmetros!E11)*(1+Parâmetros!F11)*(1+Parâmetros!G11))</f>
        <v>24145741.01829085</v>
      </c>
      <c r="J12" s="354">
        <f>H12/(Parâmetros!G20)/1000000</f>
        <v>5.0866711386987136E-05</v>
      </c>
    </row>
    <row r="13" spans="1:10" ht="15">
      <c r="A13" s="352" t="s">
        <v>176</v>
      </c>
      <c r="B13" s="353">
        <f>Metas!B13-MetasRPPS!B13</f>
        <v>21072268.044047635</v>
      </c>
      <c r="C13" s="353">
        <f>B13/(1+Parâmetros!E11)</f>
        <v>20213206.756880227</v>
      </c>
      <c r="D13" s="354">
        <f>B13/(Parâmetros!E20)/1000000</f>
        <v>4.672701784951071E-05</v>
      </c>
      <c r="E13" s="353">
        <f>Metas!E13-MetasRPPS!E13</f>
        <v>24161465.488754097</v>
      </c>
      <c r="F13" s="353">
        <f>E13/((1+Parâmetros!E11)*(1+Parâmetros!F11))</f>
        <v>22229489.446236927</v>
      </c>
      <c r="G13" s="354">
        <f>E13/(Parâmetros!F20)/1000000</f>
        <v>4.898946221046912E-05</v>
      </c>
      <c r="H13" s="353">
        <f>Metas!H13-MetasRPPS!H13</f>
        <v>26811926.45883252</v>
      </c>
      <c r="I13" s="353">
        <f>H13/((1+Parâmetros!E11)*(1+Parâmetros!F11)*(1+Parâmetros!G11))</f>
        <v>23682811.814474497</v>
      </c>
      <c r="J13" s="354">
        <f>H13/(Parâmetros!G20)/1000000</f>
        <v>4.989147992959279E-05</v>
      </c>
    </row>
    <row r="14" spans="1:10" ht="15">
      <c r="A14" s="352" t="s">
        <v>242</v>
      </c>
      <c r="B14" s="353">
        <f>Metas!B14-MetasRPPS!B14</f>
        <v>21541036.49886422</v>
      </c>
      <c r="C14" s="353">
        <f>B14/(1+Parâmetros!E11)</f>
        <v>20662864.74711196</v>
      </c>
      <c r="D14" s="354">
        <f>B14/(Parâmetros!E20)/1000000</f>
        <v>4.7766495513220926E-05</v>
      </c>
      <c r="E14" s="353">
        <f>Metas!E14-MetasRPPS!E14</f>
        <v>24657397.671316337</v>
      </c>
      <c r="F14" s="353">
        <f>E14/((1+Parâmetros!E11)*(1+Parâmetros!F11))</f>
        <v>22685766.372959264</v>
      </c>
      <c r="G14" s="354">
        <f>E14/(Parâmetros!F20)/1000000</f>
        <v>4.999500762856045E-05</v>
      </c>
      <c r="H14" s="353">
        <f>Metas!H14-MetasRPPS!H14</f>
        <v>27336020.635892354</v>
      </c>
      <c r="I14" s="353">
        <f>H14/((1+Parâmetros!E11)*(1+Parâmetros!F11)*(1+Parâmetros!G11))</f>
        <v>24145741.018290848</v>
      </c>
      <c r="J14" s="354">
        <f>H14/(Parâmetros!G20)/1000000</f>
        <v>5.086671138698713E-05</v>
      </c>
    </row>
    <row r="15" spans="1:10" ht="15">
      <c r="A15" s="352" t="s">
        <v>243</v>
      </c>
      <c r="B15" s="353">
        <f>Metas!B15-MetasRPPS!B15</f>
        <v>21323642.73406653</v>
      </c>
      <c r="C15" s="353">
        <f>B15/(1+Parâmetros!E11)</f>
        <v>20454333.557857584</v>
      </c>
      <c r="D15" s="354">
        <f>B15/(Parâmetros!E20)/1000000</f>
        <v>4.7284432438337854E-05</v>
      </c>
      <c r="E15" s="353">
        <f>Metas!E15-MetasRPPS!E15</f>
        <v>24405810.910828684</v>
      </c>
      <c r="F15" s="353">
        <f>E15/((1+Parâmetros!E11)*(1+Parâmetros!F11))</f>
        <v>22454296.75288691</v>
      </c>
      <c r="G15" s="354">
        <f>E15/(Parâmetros!F20)/1000000</f>
        <v>4.9484893699366006E-05</v>
      </c>
      <c r="H15" s="353">
        <f>Metas!H15-MetasRPPS!H15</f>
        <v>27045142.06149878</v>
      </c>
      <c r="I15" s="353">
        <f>H15/((1+Parâmetros!E11)*(1+Parâmetros!F11)*(1+Parâmetros!G11))</f>
        <v>23888809.740010533</v>
      </c>
      <c r="J15" s="354">
        <f>H15/(Parâmetros!G20)/1000000</f>
        <v>5.032544619373113E-05</v>
      </c>
    </row>
    <row r="16" spans="1:10" ht="15">
      <c r="A16" s="352" t="s">
        <v>111</v>
      </c>
      <c r="B16" s="353">
        <f>B13-B15</f>
        <v>-251374.690018896</v>
      </c>
      <c r="C16" s="353">
        <f>C13-C15</f>
        <v>-241126.80097735673</v>
      </c>
      <c r="D16" s="354">
        <f>B16/(Parâmetros!E20)/1000000</f>
        <v>-5.574145888271439E-07</v>
      </c>
      <c r="E16" s="353">
        <f>E13-E15</f>
        <v>-244345.42207458615</v>
      </c>
      <c r="F16" s="353">
        <f>F13-F15</f>
        <v>-224807.30664998293</v>
      </c>
      <c r="G16" s="354">
        <f>E16/(Parâmetros!F20)/1000000</f>
        <v>-4.954314888968817E-07</v>
      </c>
      <c r="H16" s="353">
        <f>H13-H15</f>
        <v>-233215.6026662588</v>
      </c>
      <c r="I16" s="353">
        <f>I13-I15</f>
        <v>-205997.9255360365</v>
      </c>
      <c r="J16" s="354">
        <f>H16/(Parâmetros!G20)/1000000</f>
        <v>-4.339662641383429E-07</v>
      </c>
    </row>
    <row r="17" spans="1:10" ht="12.75">
      <c r="A17" s="428" t="str">
        <f>Dívida!A21</f>
        <v>Fonte: Sistema Betha Sistemas, Unidade Responsável Contabilidade, Data da emissão 20/06/2017 e hora de emissão 08:34</v>
      </c>
      <c r="B17" s="428"/>
      <c r="C17" s="428"/>
      <c r="D17" s="428"/>
      <c r="E17" s="428"/>
      <c r="F17" s="428"/>
      <c r="G17" s="428"/>
      <c r="H17" s="428"/>
      <c r="I17" s="428"/>
      <c r="J17" s="428"/>
    </row>
    <row r="18" s="92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G19"/>
  <sheetViews>
    <sheetView view="pageBreakPreview" zoomScaleNormal="90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20.7109375" style="34" customWidth="1"/>
    <col min="2" max="2" width="20.140625" style="34" customWidth="1"/>
    <col min="3" max="3" width="9.7109375" style="34" customWidth="1"/>
    <col min="4" max="4" width="19.421875" style="34" customWidth="1"/>
    <col min="5" max="5" width="9.7109375" style="34" customWidth="1"/>
    <col min="6" max="6" width="15.140625" style="34" customWidth="1"/>
    <col min="7" max="7" width="14.28125" style="34" customWidth="1"/>
    <col min="8" max="16384" width="9.140625" style="34" customWidth="1"/>
  </cols>
  <sheetData>
    <row r="1" spans="1:7" ht="12.75">
      <c r="A1" s="454" t="str">
        <f>Parâmetros!A7</f>
        <v>Município de : Boqueirão do Leão - RS</v>
      </c>
      <c r="B1" s="449"/>
      <c r="C1" s="449"/>
      <c r="D1" s="449"/>
      <c r="E1" s="449"/>
      <c r="F1" s="449"/>
      <c r="G1" s="450"/>
    </row>
    <row r="2" spans="1:7" ht="12.75">
      <c r="A2" s="448" t="s">
        <v>416</v>
      </c>
      <c r="B2" s="449"/>
      <c r="C2" s="449"/>
      <c r="D2" s="449"/>
      <c r="E2" s="449"/>
      <c r="F2" s="449"/>
      <c r="G2" s="450"/>
    </row>
    <row r="3" spans="1:7" ht="12.75">
      <c r="A3" s="448" t="s">
        <v>179</v>
      </c>
      <c r="B3" s="449"/>
      <c r="C3" s="449"/>
      <c r="D3" s="449"/>
      <c r="E3" s="449"/>
      <c r="F3" s="449"/>
      <c r="G3" s="450"/>
    </row>
    <row r="4" spans="1:7" ht="12.75">
      <c r="A4" s="455" t="s">
        <v>180</v>
      </c>
      <c r="B4" s="456"/>
      <c r="C4" s="456"/>
      <c r="D4" s="456"/>
      <c r="E4" s="456"/>
      <c r="F4" s="456"/>
      <c r="G4" s="457"/>
    </row>
    <row r="5" spans="1:7" ht="12.75">
      <c r="A5" s="448" t="s">
        <v>406</v>
      </c>
      <c r="B5" s="449"/>
      <c r="C5" s="449"/>
      <c r="D5" s="449"/>
      <c r="E5" s="449"/>
      <c r="F5" s="449"/>
      <c r="G5" s="450"/>
    </row>
    <row r="6" spans="1:7" ht="12.75">
      <c r="A6" s="451"/>
      <c r="B6" s="452"/>
      <c r="C6" s="452"/>
      <c r="D6" s="452"/>
      <c r="E6" s="452"/>
      <c r="F6" s="452"/>
      <c r="G6" s="453"/>
    </row>
    <row r="7" spans="1:7" ht="12.75" customHeight="1">
      <c r="A7" s="446" t="s">
        <v>289</v>
      </c>
      <c r="B7" s="447"/>
      <c r="C7" s="182"/>
      <c r="D7" s="182"/>
      <c r="E7" s="182"/>
      <c r="F7" s="435">
        <v>1</v>
      </c>
      <c r="G7" s="436"/>
    </row>
    <row r="8" spans="1:7" ht="10.5" customHeight="1">
      <c r="A8" s="437" t="s">
        <v>97</v>
      </c>
      <c r="B8" s="440" t="s">
        <v>163</v>
      </c>
      <c r="C8" s="440" t="s">
        <v>99</v>
      </c>
      <c r="D8" s="440" t="s">
        <v>164</v>
      </c>
      <c r="E8" s="440" t="s">
        <v>99</v>
      </c>
      <c r="F8" s="442" t="s">
        <v>115</v>
      </c>
      <c r="G8" s="443"/>
    </row>
    <row r="9" spans="1:7" ht="12.75" customHeight="1">
      <c r="A9" s="438"/>
      <c r="B9" s="441"/>
      <c r="C9" s="441"/>
      <c r="D9" s="441"/>
      <c r="E9" s="441"/>
      <c r="F9" s="444"/>
      <c r="G9" s="445"/>
    </row>
    <row r="10" spans="1:7" ht="22.5" customHeight="1">
      <c r="A10" s="439"/>
      <c r="B10" s="184" t="s">
        <v>413</v>
      </c>
      <c r="C10" s="184"/>
      <c r="D10" s="184" t="s">
        <v>414</v>
      </c>
      <c r="E10" s="184"/>
      <c r="F10" s="185" t="s">
        <v>171</v>
      </c>
      <c r="G10" s="183" t="s">
        <v>116</v>
      </c>
    </row>
    <row r="11" spans="1:7" ht="15">
      <c r="A11" s="305" t="s">
        <v>47</v>
      </c>
      <c r="B11" s="293">
        <f>Plano!E62</f>
        <v>19100000</v>
      </c>
      <c r="C11" s="294">
        <f>B11/(Parâmetros!C20)/1000000</f>
        <v>4.869369468694929E-05</v>
      </c>
      <c r="D11" s="306">
        <f>Plano!E33</f>
        <v>22695509.71</v>
      </c>
      <c r="E11" s="294">
        <f>D11/(Parâmetros!C20)/1000000</f>
        <v>5.7860116260912727E-05</v>
      </c>
      <c r="F11" s="307">
        <f aca="true" t="shared" si="0" ref="F11:F18">D11-B11</f>
        <v>3595509.710000001</v>
      </c>
      <c r="G11" s="308">
        <f>IF(B11=0,"-",(F11/B11))</f>
        <v>0.1882465816753927</v>
      </c>
    </row>
    <row r="12" spans="1:7" ht="15">
      <c r="A12" s="305" t="s">
        <v>181</v>
      </c>
      <c r="B12" s="293">
        <f>B11-(Plano!E63+Plano!E64+Plano!E65+Plano!E66)</f>
        <v>15841305.02</v>
      </c>
      <c r="C12" s="294">
        <f>B12/(Parâmetros!C20)/1000000</f>
        <v>4.038595131344069E-05</v>
      </c>
      <c r="D12" s="306">
        <f>D11-(Plano!E13+Plano!E25+Plano!E26+Plano!E27)</f>
        <v>19436814.73</v>
      </c>
      <c r="E12" s="294">
        <f>D12/(Parâmetros!C20)/1000000</f>
        <v>4.955237288740412E-05</v>
      </c>
      <c r="F12" s="307">
        <f t="shared" si="0"/>
        <v>3595509.710000001</v>
      </c>
      <c r="G12" s="308">
        <f aca="true" t="shared" si="1" ref="G12:G18">IF(B12=0,"-",(F12/B12))</f>
        <v>0.22697054980385706</v>
      </c>
    </row>
    <row r="13" spans="1:7" ht="15">
      <c r="A13" s="305" t="s">
        <v>48</v>
      </c>
      <c r="B13" s="293">
        <f>Plano!E67</f>
        <v>19100000</v>
      </c>
      <c r="C13" s="294">
        <f>B13/(Parâmetros!C20)/1000000</f>
        <v>4.869369468694929E-05</v>
      </c>
      <c r="D13" s="306">
        <f>Plano!E59</f>
        <v>18808665.979999997</v>
      </c>
      <c r="E13" s="294">
        <f>D13/(Parâmetros!C20)/1000000</f>
        <v>4.795096537690731E-05</v>
      </c>
      <c r="F13" s="307">
        <f t="shared" si="0"/>
        <v>-291334.0200000033</v>
      </c>
      <c r="G13" s="308">
        <f t="shared" si="1"/>
        <v>-0.015253090052356193</v>
      </c>
    </row>
    <row r="14" spans="1:7" ht="15">
      <c r="A14" s="305" t="s">
        <v>182</v>
      </c>
      <c r="B14" s="293">
        <f>B13-(Plano!E68+Plano!E69+Plano!E70)</f>
        <v>18918977.45</v>
      </c>
      <c r="C14" s="294">
        <f>B14/(Parâmetros!C20)/1000000</f>
        <v>4.8232194331915104E-05</v>
      </c>
      <c r="D14" s="306">
        <f>D13-(Plano!E41+Plano!E52+Plano!E54)</f>
        <v>18627643.429999996</v>
      </c>
      <c r="E14" s="294">
        <f>D14/(Parâmetros!C20)/1000000</f>
        <v>4.7489465021873126E-05</v>
      </c>
      <c r="F14" s="307">
        <f t="shared" si="0"/>
        <v>-291334.0200000033</v>
      </c>
      <c r="G14" s="308">
        <f t="shared" si="1"/>
        <v>-0.015399036272967454</v>
      </c>
    </row>
    <row r="15" spans="1:7" ht="15">
      <c r="A15" s="305" t="s">
        <v>117</v>
      </c>
      <c r="B15" s="293">
        <f>B12-B14</f>
        <v>-3077672.4299999997</v>
      </c>
      <c r="C15" s="294">
        <f>B15/(Parâmetros!C20)/1000000</f>
        <v>-7.846243018474414E-06</v>
      </c>
      <c r="D15" s="306">
        <f>D12-D14</f>
        <v>809171.3000000045</v>
      </c>
      <c r="E15" s="294">
        <f>D15/(Parâmetros!C20)/1000000</f>
        <v>2.0629078655309984E-06</v>
      </c>
      <c r="F15" s="307">
        <f t="shared" si="0"/>
        <v>3886843.730000004</v>
      </c>
      <c r="G15" s="308">
        <f t="shared" si="1"/>
        <v>-1.2629166418467752</v>
      </c>
    </row>
    <row r="16" spans="1:7" ht="15" customHeight="1">
      <c r="A16" s="305" t="s">
        <v>43</v>
      </c>
      <c r="B16" s="309">
        <v>-471575.48</v>
      </c>
      <c r="C16" s="294">
        <f>B16/(Parâmetros!C20)/1000000</f>
        <v>-1.2022383479042701E-06</v>
      </c>
      <c r="D16" s="306">
        <f>Dívida!C12</f>
        <v>0</v>
      </c>
      <c r="E16" s="294">
        <f>D16/(Parâmetros!C20)/1000000</f>
        <v>0</v>
      </c>
      <c r="F16" s="307">
        <f t="shared" si="0"/>
        <v>471575.48</v>
      </c>
      <c r="G16" s="308">
        <f t="shared" si="1"/>
        <v>-1</v>
      </c>
    </row>
    <row r="17" spans="1:7" ht="27" customHeight="1">
      <c r="A17" s="305" t="s">
        <v>118</v>
      </c>
      <c r="B17" s="309">
        <v>496033.54</v>
      </c>
      <c r="C17" s="294">
        <f>B17/(Parâmetros!C20)/1000000</f>
        <v>1.2645919241490391E-06</v>
      </c>
      <c r="D17" s="306">
        <f>Dívida!C7</f>
        <v>372736.6</v>
      </c>
      <c r="E17" s="294">
        <f>D17/(Parâmetros!C20)/1000000</f>
        <v>9.502577067566252E-07</v>
      </c>
      <c r="F17" s="307">
        <f t="shared" si="0"/>
        <v>-123296.94</v>
      </c>
      <c r="G17" s="308">
        <f t="shared" si="1"/>
        <v>-0.2485657320672308</v>
      </c>
    </row>
    <row r="18" spans="1:7" ht="28.5" customHeight="1">
      <c r="A18" s="305" t="s">
        <v>119</v>
      </c>
      <c r="B18" s="309">
        <v>-868872.63</v>
      </c>
      <c r="C18" s="294">
        <f>B18/(Parâmetros!C20)/1000000</f>
        <v>-2.2151109197417096E-06</v>
      </c>
      <c r="D18" s="306">
        <f>Dívida!C9</f>
        <v>-1340448.1099999999</v>
      </c>
      <c r="E18" s="294">
        <f>D18/(Parâmetros!C20)/1000000</f>
        <v>-3.41734926764598E-06</v>
      </c>
      <c r="F18" s="307">
        <f t="shared" si="0"/>
        <v>-471575.47999999986</v>
      </c>
      <c r="G18" s="308">
        <f t="shared" si="1"/>
        <v>0.5427440843659672</v>
      </c>
    </row>
    <row r="19" spans="1:7" ht="12.75">
      <c r="A19" s="421" t="str">
        <f>Dívida!A21</f>
        <v>Fonte: Sistema Betha Sistemas, Unidade Responsável Contabilidade, Data da emissão 20/06/2017 e hora de emissão 08:34</v>
      </c>
      <c r="B19" s="421"/>
      <c r="C19" s="421"/>
      <c r="D19" s="421"/>
      <c r="E19" s="421"/>
      <c r="F19" s="421"/>
      <c r="G19" s="421"/>
    </row>
  </sheetData>
  <sheetProtection/>
  <mergeCells count="15">
    <mergeCell ref="A5:G5"/>
    <mergeCell ref="A6:G6"/>
    <mergeCell ref="A1:G1"/>
    <mergeCell ref="A2:G2"/>
    <mergeCell ref="A3:G3"/>
    <mergeCell ref="A4:G4"/>
    <mergeCell ref="A19:G19"/>
    <mergeCell ref="F7:G7"/>
    <mergeCell ref="A8:A10"/>
    <mergeCell ref="B8:B9"/>
    <mergeCell ref="C8:C9"/>
    <mergeCell ref="D8:D9"/>
    <mergeCell ref="E8:E9"/>
    <mergeCell ref="F8:G9"/>
    <mergeCell ref="A7:B7"/>
  </mergeCells>
  <printOptions/>
  <pageMargins left="0.787401575" right="0.787401575" top="0.984251969" bottom="0.984251969" header="0.492125985" footer="0.49212598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Prefeitura</cp:lastModifiedBy>
  <cp:lastPrinted>2017-07-14T18:42:02Z</cp:lastPrinted>
  <dcterms:modified xsi:type="dcterms:W3CDTF">2017-07-14T19:26:50Z</dcterms:modified>
  <cp:category/>
  <cp:version/>
  <cp:contentType/>
  <cp:contentStatus/>
</cp:coreProperties>
</file>